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8_2010" sheetId="1" r:id="rId1"/>
  </sheets>
  <definedNames>
    <definedName name="Excel_BuiltIn_Print_Area_11">#REF!</definedName>
    <definedName name="Excel_BuiltIn_Print_Area_2">#REF!</definedName>
    <definedName name="Excel_BuiltIn_Print_Area_3">#REF!</definedName>
    <definedName name="Excel_BuiltIn_Print_Area_6">#REF!</definedName>
    <definedName name="_xlnm.Print_Area" localSheetId="0">'2008_2010'!$A$1:$N$135</definedName>
  </definedNames>
  <calcPr fullCalcOnLoad="1"/>
</workbook>
</file>

<file path=xl/sharedStrings.xml><?xml version="1.0" encoding="utf-8"?>
<sst xmlns="http://schemas.openxmlformats.org/spreadsheetml/2006/main" count="177" uniqueCount="112">
  <si>
    <t>№ п/п</t>
  </si>
  <si>
    <t>Показатели</t>
  </si>
  <si>
    <t>Факт.2006 года</t>
  </si>
  <si>
    <t>Принято ДЦТ на 2007 год (без НДС)</t>
  </si>
  <si>
    <t>План предприятия на 2008</t>
  </si>
  <si>
    <t>Факт за 2007 год</t>
  </si>
  <si>
    <t>Принято ДЦТ на 2008 год (без НДС)</t>
  </si>
  <si>
    <t>Факт за 2008 год</t>
  </si>
  <si>
    <t>индексы на 2009 год</t>
  </si>
  <si>
    <t>Принято ДЦТ на 2009 год (без НДС)</t>
  </si>
  <si>
    <t>Факт за 2009 год</t>
  </si>
  <si>
    <t>Индексы на 2010 год</t>
  </si>
  <si>
    <t>Принято ДЦТ на 2010 год (без НДС)</t>
  </si>
  <si>
    <r>
      <t>Натуральные показатели, тыс. м</t>
    </r>
    <r>
      <rPr>
        <b/>
        <vertAlign val="superscript"/>
        <sz val="10"/>
        <rFont val="Arial Cyr"/>
        <family val="2"/>
      </rPr>
      <t>3</t>
    </r>
  </si>
  <si>
    <t>1.</t>
  </si>
  <si>
    <t>Пропущено сточных вод, всего:</t>
  </si>
  <si>
    <t>в т. ч. а) артезианская</t>
  </si>
  <si>
    <t xml:space="preserve">          б) речная</t>
  </si>
  <si>
    <t>в т.ч. а) от населения</t>
  </si>
  <si>
    <t xml:space="preserve">         б) от прочих потребителей</t>
  </si>
  <si>
    <t>в) от пр-ва теплов.энергии</t>
  </si>
  <si>
    <t>2.</t>
  </si>
  <si>
    <t>Пропущено через очистные сооружения</t>
  </si>
  <si>
    <t>в т. ч. на биологическую очистку</t>
  </si>
  <si>
    <t>3.</t>
  </si>
  <si>
    <t>Передано сточных вод на очистку другим канализациям</t>
  </si>
  <si>
    <t>Полная себестоимость отвода сточной жидкости, тыс.руб.</t>
  </si>
  <si>
    <t>Перекачка сточной жидкости ,всего:</t>
  </si>
  <si>
    <t>Затраты на покупную электрическую энергию, по уровням напряжения:</t>
  </si>
  <si>
    <t>1.1.2.</t>
  </si>
  <si>
    <t>энергия НН (04 кВ и ниже)</t>
  </si>
  <si>
    <t>тариф на энергию (руб/кВт.ч)</t>
  </si>
  <si>
    <t>объем энергии (тыс. кВт.ч)</t>
  </si>
  <si>
    <t>1.1.3.    заявленная мощность по НН (04 кВ и ниже)</t>
  </si>
  <si>
    <t>тариф на заявленную мощность (руб.кВт.мес)</t>
  </si>
  <si>
    <t>годовой объем мощности (МВт)</t>
  </si>
  <si>
    <t>1.1.4.</t>
  </si>
  <si>
    <t>энергия СН 2 (1-20 кВ)</t>
  </si>
  <si>
    <t>1.1.5.</t>
  </si>
  <si>
    <t>заявленная мощность по СН 2 (1-20 кВ)</t>
  </si>
  <si>
    <t>тариф за заявленную мощность (руб.кВт.мес)</t>
  </si>
  <si>
    <t>1.1.6.</t>
  </si>
  <si>
    <t>энергия СН 1 (35 кВ)</t>
  </si>
  <si>
    <t>1.1.7.</t>
  </si>
  <si>
    <t>заявленная мощность по СН 1 (35 кВ)</t>
  </si>
  <si>
    <t>1.1.8.</t>
  </si>
  <si>
    <t>энергия по свободным (нерегулируемым) ценам</t>
  </si>
  <si>
    <t>1.1.9.</t>
  </si>
  <si>
    <t>заявленная мощность по свободным (нерегулируемым) ценам</t>
  </si>
  <si>
    <t>тариф на заявленную мощность (рубкВт.мес)</t>
  </si>
  <si>
    <t>тыс. кВт.ч., всего</t>
  </si>
  <si>
    <t>цена, руб. за 1 кВт/ч</t>
  </si>
  <si>
    <r>
      <t>удельная норма расхода, кВт/ч на 1 м</t>
    </r>
    <r>
      <rPr>
        <vertAlign val="superscript"/>
        <sz val="10"/>
        <rFont val="Arial Cyr"/>
        <family val="2"/>
      </rPr>
      <t>3</t>
    </r>
  </si>
  <si>
    <t>Амортизация</t>
  </si>
  <si>
    <t>Ремонт и технич. обслуживание</t>
  </si>
  <si>
    <t>в т.ч. капитальный ремонт</t>
  </si>
  <si>
    <t>Затраты по оплате труда</t>
  </si>
  <si>
    <t>ЕСН, %</t>
  </si>
  <si>
    <t>ЕСН с оплаты работников</t>
  </si>
  <si>
    <t>Цеховые расходы</t>
  </si>
  <si>
    <t>в т.ч. э/энергия на освещ.и обогрев КНС</t>
  </si>
  <si>
    <t>Очистка сточной жидкости, всего:</t>
  </si>
  <si>
    <t>Материалы</t>
  </si>
  <si>
    <t>в т.ч. капитальный ремонт осн. Средств</t>
  </si>
  <si>
    <t>з/плата работн.ремонтн. Персонала</t>
  </si>
  <si>
    <t>ЕСН с оплаты работников рем. Персонала</t>
  </si>
  <si>
    <t>в т.ч. ФОТ</t>
  </si>
  <si>
    <t>ЕСН с оплаты раб. Цехового персонала</t>
  </si>
  <si>
    <t>Транспортиров. и утилизация, всего</t>
  </si>
  <si>
    <t>Электроэнергия, руб.</t>
  </si>
  <si>
    <t>в т.ч. капитальный ремонт осн. средств</t>
  </si>
  <si>
    <t>з/плата работн.ремонтн. персонала</t>
  </si>
  <si>
    <t>ЕСН с оплаты раб. ремонтн. персонала</t>
  </si>
  <si>
    <t>4.</t>
  </si>
  <si>
    <t>Проведение авар-восстан.работ</t>
  </si>
  <si>
    <t>5.</t>
  </si>
  <si>
    <t>Ремонтный фонд</t>
  </si>
  <si>
    <t>6.</t>
  </si>
  <si>
    <t>Покупные стоки</t>
  </si>
  <si>
    <t>Тариф, руб. за 1 куб. мот ПАФ Курс</t>
  </si>
  <si>
    <t>7.</t>
  </si>
  <si>
    <t>Общехозяйственные расходы</t>
  </si>
  <si>
    <t>ЕСН с оплаты работников АУП</t>
  </si>
  <si>
    <t>8.</t>
  </si>
  <si>
    <t>Прочие прямые расходы</t>
  </si>
  <si>
    <t>9.</t>
  </si>
  <si>
    <t>Недополученная выручка</t>
  </si>
  <si>
    <t>10.</t>
  </si>
  <si>
    <t>ВСЕГО расходов по полн. себест.</t>
  </si>
  <si>
    <t>Электроэнергии, руб.</t>
  </si>
  <si>
    <t xml:space="preserve">Всего ФОТ </t>
  </si>
  <si>
    <t>фактическая численность,чел.</t>
  </si>
  <si>
    <t>Средняя з/плата,руб. в мес.</t>
  </si>
  <si>
    <t>11.</t>
  </si>
  <si>
    <r>
      <t>Себест. 1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сточной жидкости, руб.</t>
    </r>
    <r>
      <rPr>
        <b/>
        <vertAlign val="superscript"/>
        <sz val="10"/>
        <rFont val="Arial Cyr"/>
        <family val="2"/>
      </rPr>
      <t xml:space="preserve"> </t>
    </r>
  </si>
  <si>
    <t>12.</t>
  </si>
  <si>
    <t>Прибыль</t>
  </si>
  <si>
    <t>в т. ч. налог на прибыль</t>
  </si>
  <si>
    <t>Прибыль на соц. Выплаты</t>
  </si>
  <si>
    <t>13.</t>
  </si>
  <si>
    <t>Необходимая валовая выручка</t>
  </si>
  <si>
    <t>14.</t>
  </si>
  <si>
    <r>
      <t>Тариф, руб. за 1 м</t>
    </r>
    <r>
      <rPr>
        <b/>
        <vertAlign val="superscript"/>
        <sz val="10"/>
        <rFont val="Arial Cyr"/>
        <family val="2"/>
      </rPr>
      <t xml:space="preserve">3 </t>
    </r>
    <r>
      <rPr>
        <b/>
        <sz val="10"/>
        <rFont val="Arial Cyr"/>
        <family val="2"/>
      </rPr>
      <t>стоков</t>
    </r>
  </si>
  <si>
    <t>Рентабельность, %</t>
  </si>
  <si>
    <t>Рост к действующему тарифу, %</t>
  </si>
  <si>
    <t>В О Д О О Т В Е Д Е Н И Е     ООО "Комсервис"</t>
  </si>
  <si>
    <t>Индексы на 2011 год</t>
  </si>
  <si>
    <t>в т.ч. Фот</t>
  </si>
  <si>
    <t>ЕСН</t>
  </si>
  <si>
    <t>освещение</t>
  </si>
  <si>
    <t>План предпр. на 2011 год (НДС не облагается)</t>
  </si>
  <si>
    <t>Принято ДЦТ на 2011 год (НДС не облагается)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</si>
</sst>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0.0"/>
    <numFmt numFmtId="166" formatCode="0.000"/>
    <numFmt numFmtId="167" formatCode="0.00000"/>
    <numFmt numFmtId="168" formatCode="_-* #,##0.00_р_._-;\-* #,##0.00_р_._-;_-* \-??_р_._-;_-@_-"/>
    <numFmt numFmtId="169" formatCode="_-* #,##0.0_р_._-;\-* #,##0.0_р_._-;_-* \-??_р_._-;_-@_-"/>
    <numFmt numFmtId="170" formatCode="0.0%"/>
    <numFmt numFmtId="171" formatCode="0.00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vertAlign val="superscript"/>
      <sz val="10"/>
      <name val="Arial Cyr"/>
      <family val="2"/>
    </font>
    <font>
      <b/>
      <i/>
      <sz val="10"/>
      <name val="Arial Cyr"/>
      <family val="2"/>
    </font>
    <font>
      <vertAlign val="superscript"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>
      <alignment horizontal="justify" wrapText="1"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wrapText="1"/>
    </xf>
    <xf numFmtId="165" fontId="2" fillId="0" borderId="1" xfId="1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1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66" fontId="0" fillId="0" borderId="1" xfId="0" applyNumberFormat="1" applyFill="1" applyBorder="1" applyAlignment="1">
      <alignment/>
    </xf>
    <xf numFmtId="169" fontId="0" fillId="0" borderId="1" xfId="18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70" fontId="0" fillId="0" borderId="1" xfId="17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66" fontId="0" fillId="0" borderId="3" xfId="0" applyNumberForma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167" fontId="0" fillId="0" borderId="3" xfId="0" applyNumberForma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170" fontId="0" fillId="0" borderId="3" xfId="17" applyNumberFormat="1" applyFont="1" applyFill="1" applyBorder="1" applyAlignment="1" applyProtection="1">
      <alignment/>
      <protection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166" fontId="2" fillId="0" borderId="4" xfId="0" applyNumberFormat="1" applyFont="1" applyFill="1" applyBorder="1" applyAlignment="1">
      <alignment/>
    </xf>
    <xf numFmtId="166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2" fontId="2" fillId="0" borderId="4" xfId="0" applyNumberFormat="1" applyFont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70" fontId="0" fillId="0" borderId="4" xfId="17" applyNumberFormat="1" applyFont="1" applyFill="1" applyBorder="1" applyAlignment="1" applyProtection="1">
      <alignment/>
      <protection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2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65" fontId="2" fillId="0" borderId="4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65" fontId="2" fillId="0" borderId="5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167" fontId="0" fillId="0" borderId="5" xfId="0" applyNumberForma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170" fontId="0" fillId="0" borderId="5" xfId="17" applyNumberFormat="1" applyFont="1" applyFill="1" applyBorder="1" applyAlignment="1" applyProtection="1">
      <alignment/>
      <protection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5"/>
  <sheetViews>
    <sheetView tabSelected="1" workbookViewId="0" topLeftCell="A1">
      <selection activeCell="A3" sqref="A3:Q3"/>
    </sheetView>
  </sheetViews>
  <sheetFormatPr defaultColWidth="9.00390625" defaultRowHeight="12.75"/>
  <cols>
    <col min="1" max="1" width="5.375" style="1" customWidth="1"/>
    <col min="2" max="2" width="41.625" style="2" customWidth="1"/>
    <col min="3" max="10" width="0" style="2" hidden="1" customWidth="1"/>
    <col min="11" max="12" width="12.00390625" style="2" customWidth="1"/>
    <col min="13" max="13" width="12.00390625" style="2" hidden="1" customWidth="1"/>
    <col min="14" max="14" width="12.375" style="2" customWidth="1"/>
    <col min="15" max="15" width="11.875" style="2" customWidth="1"/>
    <col min="16" max="16" width="7.125" style="0" customWidth="1"/>
    <col min="17" max="17" width="11.25390625" style="0" customWidth="1"/>
    <col min="23" max="23" width="4.875" style="0" customWidth="1"/>
    <col min="24" max="24" width="7.125" style="0" customWidth="1"/>
  </cols>
  <sheetData>
    <row r="1" spans="1:22" ht="19.5" customHeight="1">
      <c r="A1" s="96" t="s">
        <v>105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3"/>
      <c r="M1" s="3"/>
      <c r="N1" s="3"/>
      <c r="O1" s="3"/>
      <c r="P1" s="4"/>
      <c r="Q1" s="5"/>
      <c r="R1" s="5"/>
      <c r="S1" s="5"/>
      <c r="T1" s="5"/>
      <c r="U1" s="5"/>
      <c r="V1" s="5"/>
    </row>
    <row r="2" spans="1:17" ht="66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/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44" t="s">
        <v>12</v>
      </c>
      <c r="O2" s="59" t="s">
        <v>110</v>
      </c>
      <c r="P2" s="60" t="s">
        <v>106</v>
      </c>
      <c r="Q2" s="76" t="s">
        <v>111</v>
      </c>
    </row>
    <row r="3" spans="1:17" ht="13.5" customHeight="1">
      <c r="A3" s="97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12.75">
      <c r="A4" s="8" t="s">
        <v>14</v>
      </c>
      <c r="B4" s="9" t="s">
        <v>15</v>
      </c>
      <c r="C4" s="10">
        <v>494.4</v>
      </c>
      <c r="D4" s="10">
        <v>565.7</v>
      </c>
      <c r="E4" s="11">
        <v>523.6</v>
      </c>
      <c r="F4" s="10"/>
      <c r="G4" s="10">
        <v>475.219</v>
      </c>
      <c r="H4" s="11">
        <v>523.65841</v>
      </c>
      <c r="I4" s="12">
        <v>429.36</v>
      </c>
      <c r="J4" s="10"/>
      <c r="K4" s="10">
        <v>447.292</v>
      </c>
      <c r="L4" s="10">
        <v>419.857</v>
      </c>
      <c r="M4" s="10"/>
      <c r="N4" s="45">
        <v>443.53</v>
      </c>
      <c r="O4" s="61">
        <v>417.753</v>
      </c>
      <c r="P4" s="62"/>
      <c r="Q4" s="61">
        <v>417.753</v>
      </c>
    </row>
    <row r="5" spans="1:17" ht="12.75" customHeight="1" hidden="1">
      <c r="A5" s="14"/>
      <c r="B5" s="15" t="s">
        <v>16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6"/>
      <c r="O5" s="63"/>
      <c r="P5" s="64"/>
      <c r="Q5" s="63"/>
    </row>
    <row r="6" spans="1:17" ht="12.75" customHeight="1" hidden="1">
      <c r="A6" s="14"/>
      <c r="B6" s="15" t="s">
        <v>17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6"/>
      <c r="O6" s="63"/>
      <c r="P6" s="64"/>
      <c r="Q6" s="63"/>
    </row>
    <row r="7" spans="1:17" ht="12.75">
      <c r="A7" s="14"/>
      <c r="B7" s="15" t="s">
        <v>18</v>
      </c>
      <c r="C7" s="17">
        <v>445.1</v>
      </c>
      <c r="D7" s="16">
        <v>515.6</v>
      </c>
      <c r="E7" s="17">
        <v>471.74097</v>
      </c>
      <c r="F7" s="16"/>
      <c r="G7" s="16">
        <v>424.602</v>
      </c>
      <c r="H7" s="17">
        <v>471.74097</v>
      </c>
      <c r="I7" s="18">
        <v>378.39</v>
      </c>
      <c r="J7" s="16"/>
      <c r="K7" s="16">
        <v>395.308</v>
      </c>
      <c r="L7" s="16">
        <v>366.924</v>
      </c>
      <c r="M7" s="16"/>
      <c r="N7" s="47">
        <v>393.511</v>
      </c>
      <c r="O7" s="63">
        <v>367.865</v>
      </c>
      <c r="P7" s="63"/>
      <c r="Q7" s="63">
        <v>367.865</v>
      </c>
    </row>
    <row r="8" spans="1:17" ht="12.75">
      <c r="A8" s="14"/>
      <c r="B8" s="15" t="s">
        <v>19</v>
      </c>
      <c r="C8" s="17">
        <f>C4-C7</f>
        <v>49.299999999999955</v>
      </c>
      <c r="D8" s="16">
        <f>D4-D7</f>
        <v>50.10000000000002</v>
      </c>
      <c r="E8" s="16">
        <v>51.9</v>
      </c>
      <c r="F8" s="16"/>
      <c r="G8" s="16">
        <f>G4-G7</f>
        <v>50.61700000000002</v>
      </c>
      <c r="H8" s="16">
        <v>51.9</v>
      </c>
      <c r="I8" s="19">
        <f>I4-I7-I9</f>
        <v>30.174000000000028</v>
      </c>
      <c r="J8" s="16"/>
      <c r="K8" s="16">
        <f>K4-K7-K9</f>
        <v>29.44999999999998</v>
      </c>
      <c r="L8" s="16">
        <v>28.894</v>
      </c>
      <c r="M8" s="16"/>
      <c r="N8" s="47">
        <f>N4-N7-N9</f>
        <v>30.25499999999995</v>
      </c>
      <c r="O8" s="63">
        <v>29.152</v>
      </c>
      <c r="P8" s="64"/>
      <c r="Q8" s="63">
        <v>29.152</v>
      </c>
    </row>
    <row r="9" spans="1:17" ht="12.75">
      <c r="A9" s="14"/>
      <c r="B9" s="15" t="s">
        <v>20</v>
      </c>
      <c r="C9" s="17"/>
      <c r="D9" s="16"/>
      <c r="E9" s="16"/>
      <c r="F9" s="16"/>
      <c r="G9" s="16"/>
      <c r="H9" s="16"/>
      <c r="I9" s="16">
        <v>20.796</v>
      </c>
      <c r="J9" s="16"/>
      <c r="K9" s="16">
        <v>22.534</v>
      </c>
      <c r="L9" s="16">
        <v>24.039</v>
      </c>
      <c r="M9" s="16"/>
      <c r="N9" s="46">
        <v>19.764</v>
      </c>
      <c r="O9" s="63">
        <v>20.736</v>
      </c>
      <c r="P9" s="64"/>
      <c r="Q9" s="63">
        <v>20.736</v>
      </c>
    </row>
    <row r="10" spans="1:17" s="22" customFormat="1" ht="12.75" customHeight="1">
      <c r="A10" s="8" t="s">
        <v>21</v>
      </c>
      <c r="B10" s="20" t="s">
        <v>22</v>
      </c>
      <c r="C10" s="21">
        <v>382.6</v>
      </c>
      <c r="D10" s="10">
        <v>437.8</v>
      </c>
      <c r="E10" s="11">
        <v>413.09335</v>
      </c>
      <c r="F10" s="10"/>
      <c r="G10" s="10">
        <v>371.5</v>
      </c>
      <c r="H10" s="11">
        <v>413.09335</v>
      </c>
      <c r="I10" s="13">
        <v>345.039</v>
      </c>
      <c r="J10" s="10"/>
      <c r="K10" s="10">
        <v>353.124</v>
      </c>
      <c r="L10" s="10">
        <v>331.982</v>
      </c>
      <c r="M10" s="10"/>
      <c r="N10" s="45">
        <v>348.695</v>
      </c>
      <c r="O10" s="61">
        <v>330.641</v>
      </c>
      <c r="P10" s="61"/>
      <c r="Q10" s="61">
        <v>330.641</v>
      </c>
    </row>
    <row r="11" spans="1:17" ht="12.75">
      <c r="A11" s="14"/>
      <c r="B11" s="23" t="s">
        <v>23</v>
      </c>
      <c r="C11" s="17">
        <v>382.6</v>
      </c>
      <c r="D11" s="16">
        <v>437.8</v>
      </c>
      <c r="E11" s="17">
        <v>413.09335</v>
      </c>
      <c r="F11" s="16"/>
      <c r="G11" s="16">
        <v>371.5</v>
      </c>
      <c r="H11" s="17">
        <v>413.09335</v>
      </c>
      <c r="I11" s="19">
        <v>345.039</v>
      </c>
      <c r="J11" s="16"/>
      <c r="K11" s="16">
        <v>353.124</v>
      </c>
      <c r="L11" s="16">
        <v>331.982</v>
      </c>
      <c r="M11" s="16"/>
      <c r="N11" s="47">
        <v>348.695</v>
      </c>
      <c r="O11" s="63">
        <v>330.641</v>
      </c>
      <c r="P11" s="63"/>
      <c r="Q11" s="63">
        <v>330.641</v>
      </c>
    </row>
    <row r="12" spans="1:17" s="22" customFormat="1" ht="27.75" customHeight="1">
      <c r="A12" s="8" t="s">
        <v>24</v>
      </c>
      <c r="B12" s="20" t="s">
        <v>25</v>
      </c>
      <c r="C12" s="10">
        <v>111.8</v>
      </c>
      <c r="D12" s="10">
        <v>127.9</v>
      </c>
      <c r="E12" s="11">
        <v>110.56506</v>
      </c>
      <c r="F12" s="10"/>
      <c r="G12" s="10">
        <f>G4-G10</f>
        <v>103.719</v>
      </c>
      <c r="H12" s="11">
        <v>110.56506</v>
      </c>
      <c r="I12" s="12">
        <f>I4-I10</f>
        <v>84.32100000000003</v>
      </c>
      <c r="J12" s="10"/>
      <c r="K12" s="10">
        <f>K4-K10</f>
        <v>94.16799999999995</v>
      </c>
      <c r="L12" s="10"/>
      <c r="M12" s="10"/>
      <c r="N12" s="45">
        <f>N4-N10</f>
        <v>94.83499999999998</v>
      </c>
      <c r="O12" s="61">
        <v>87.112</v>
      </c>
      <c r="P12" s="61"/>
      <c r="Q12" s="61">
        <v>87.112</v>
      </c>
    </row>
    <row r="13" spans="1:17" ht="12.75" customHeight="1">
      <c r="A13" s="100" t="s">
        <v>26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</row>
    <row r="14" spans="1:17" ht="12.75" customHeight="1">
      <c r="A14" s="24" t="s">
        <v>14</v>
      </c>
      <c r="B14" s="20" t="s">
        <v>27</v>
      </c>
      <c r="C14" s="11">
        <f>C15+C43+C44+C46+C48+C49</f>
        <v>1634.238125</v>
      </c>
      <c r="D14" s="10">
        <f>D15+D43+D44+D46+D48+D49</f>
        <v>1830.4</v>
      </c>
      <c r="E14" s="10">
        <f>E15+E43+E44+E46+E48+E49</f>
        <v>1942.5</v>
      </c>
      <c r="F14" s="10"/>
      <c r="G14" s="10">
        <f>G15+G43+G44+G46+G48+G49</f>
        <v>1788.4</v>
      </c>
      <c r="H14" s="11">
        <f>H15+H43+H44+H46+H48+H49</f>
        <v>1939.5141950458749</v>
      </c>
      <c r="I14" s="12">
        <f>I15+I43+I44+I46+I48+I49</f>
        <v>2297.5</v>
      </c>
      <c r="J14" s="10"/>
      <c r="K14" s="11">
        <f>K15+K43+K44+K46+K48+K49</f>
        <v>2016.8844669622003</v>
      </c>
      <c r="L14" s="11">
        <v>2108</v>
      </c>
      <c r="M14" s="11"/>
      <c r="N14" s="48">
        <f>N15+N43+N44+N46+N48+N49</f>
        <v>2086.5103547836</v>
      </c>
      <c r="O14" s="65">
        <v>2750.24</v>
      </c>
      <c r="P14" s="62"/>
      <c r="Q14" s="83">
        <f>Q15+Q43+Q44+Q46+Q48+Q49</f>
        <v>2565.6855780543997</v>
      </c>
    </row>
    <row r="15" spans="1:17" s="29" customFormat="1" ht="25.5" customHeight="1">
      <c r="A15" s="25">
        <v>39814</v>
      </c>
      <c r="B15" s="23" t="s">
        <v>28</v>
      </c>
      <c r="C15" s="26">
        <v>265.6</v>
      </c>
      <c r="D15" s="26">
        <v>430.8</v>
      </c>
      <c r="E15" s="26">
        <v>409.4</v>
      </c>
      <c r="F15" s="26"/>
      <c r="G15" s="26">
        <v>361.7</v>
      </c>
      <c r="H15" s="27">
        <f>H41*H40</f>
        <v>467.934609445875</v>
      </c>
      <c r="I15" s="28">
        <v>363.54</v>
      </c>
      <c r="J15" s="26"/>
      <c r="K15" s="27">
        <f>K41*K40</f>
        <v>503.6151204630001</v>
      </c>
      <c r="L15" s="27">
        <v>389.5</v>
      </c>
      <c r="M15" s="27"/>
      <c r="N15" s="49">
        <f>N16+N22+N34</f>
        <v>492.01441880439995</v>
      </c>
      <c r="O15" s="66">
        <v>592.64</v>
      </c>
      <c r="P15" s="67"/>
      <c r="Q15" s="27">
        <v>653.813</v>
      </c>
    </row>
    <row r="16" spans="1:17" s="29" customFormat="1" ht="12.75">
      <c r="A16" s="25" t="s">
        <v>29</v>
      </c>
      <c r="B16" s="23" t="s">
        <v>30</v>
      </c>
      <c r="C16" s="26"/>
      <c r="D16" s="26"/>
      <c r="E16" s="26"/>
      <c r="F16" s="26"/>
      <c r="G16" s="26"/>
      <c r="H16" s="27"/>
      <c r="I16" s="27">
        <f>I18*I17</f>
        <v>183.85500000000002</v>
      </c>
      <c r="J16" s="26"/>
      <c r="K16" s="27"/>
      <c r="L16" s="27">
        <v>109.9</v>
      </c>
      <c r="M16" s="27"/>
      <c r="N16" s="50">
        <f>N18*N17</f>
        <v>213.1909278044</v>
      </c>
      <c r="O16" s="66"/>
      <c r="P16" s="67"/>
      <c r="Q16" s="85"/>
    </row>
    <row r="17" spans="1:17" s="29" customFormat="1" ht="12.75">
      <c r="A17" s="25"/>
      <c r="B17" s="23" t="s">
        <v>31</v>
      </c>
      <c r="C17" s="26"/>
      <c r="D17" s="26"/>
      <c r="E17" s="26"/>
      <c r="F17" s="26"/>
      <c r="G17" s="26"/>
      <c r="H17" s="27"/>
      <c r="I17" s="28">
        <v>2.06</v>
      </c>
      <c r="J17" s="26"/>
      <c r="K17" s="27"/>
      <c r="L17" s="27">
        <v>2.4064</v>
      </c>
      <c r="M17" s="27"/>
      <c r="N17" s="49">
        <f>2.4164*1.13</f>
        <v>2.7305319999999997</v>
      </c>
      <c r="O17" s="66"/>
      <c r="P17" s="67"/>
      <c r="Q17" s="84"/>
    </row>
    <row r="18" spans="1:17" s="29" customFormat="1" ht="12.75">
      <c r="A18" s="25"/>
      <c r="B18" s="23" t="s">
        <v>32</v>
      </c>
      <c r="C18" s="26"/>
      <c r="D18" s="26"/>
      <c r="E18" s="26"/>
      <c r="F18" s="26"/>
      <c r="G18" s="26"/>
      <c r="H18" s="27"/>
      <c r="I18" s="28">
        <v>89.25</v>
      </c>
      <c r="J18" s="26"/>
      <c r="K18" s="27"/>
      <c r="L18" s="27">
        <v>45.68</v>
      </c>
      <c r="M18" s="27"/>
      <c r="N18" s="50">
        <f>N40-N36-N24</f>
        <v>78.0767</v>
      </c>
      <c r="O18" s="66"/>
      <c r="P18" s="67"/>
      <c r="Q18" s="85"/>
    </row>
    <row r="19" spans="1:17" s="29" customFormat="1" ht="12.75">
      <c r="A19" s="25" t="s">
        <v>33</v>
      </c>
      <c r="B19" s="23"/>
      <c r="C19" s="26"/>
      <c r="D19" s="26"/>
      <c r="E19" s="26"/>
      <c r="F19" s="26"/>
      <c r="G19" s="26"/>
      <c r="H19" s="27"/>
      <c r="I19" s="27"/>
      <c r="J19" s="26"/>
      <c r="K19" s="27"/>
      <c r="L19" s="27"/>
      <c r="M19" s="27"/>
      <c r="N19" s="50"/>
      <c r="O19" s="66"/>
      <c r="P19" s="67"/>
      <c r="Q19" s="85"/>
    </row>
    <row r="20" spans="1:17" s="29" customFormat="1" ht="25.5">
      <c r="A20" s="25"/>
      <c r="B20" s="23" t="s">
        <v>34</v>
      </c>
      <c r="C20" s="26"/>
      <c r="D20" s="26"/>
      <c r="E20" s="26"/>
      <c r="F20" s="26"/>
      <c r="G20" s="26"/>
      <c r="H20" s="27"/>
      <c r="I20" s="27"/>
      <c r="J20" s="26"/>
      <c r="K20" s="27"/>
      <c r="L20" s="27"/>
      <c r="M20" s="27"/>
      <c r="N20" s="50"/>
      <c r="O20" s="66"/>
      <c r="P20" s="67"/>
      <c r="Q20" s="85"/>
    </row>
    <row r="21" spans="1:17" s="29" customFormat="1" ht="12.75">
      <c r="A21" s="25"/>
      <c r="B21" s="23" t="s">
        <v>35</v>
      </c>
      <c r="C21" s="26"/>
      <c r="D21" s="26"/>
      <c r="E21" s="26"/>
      <c r="F21" s="26"/>
      <c r="G21" s="26"/>
      <c r="H21" s="27"/>
      <c r="I21" s="27"/>
      <c r="J21" s="26"/>
      <c r="K21" s="27"/>
      <c r="L21" s="27"/>
      <c r="M21" s="27"/>
      <c r="N21" s="50"/>
      <c r="O21" s="66"/>
      <c r="P21" s="67"/>
      <c r="Q21" s="85"/>
    </row>
    <row r="22" spans="1:17" s="29" customFormat="1" ht="12.75">
      <c r="A22" s="25" t="s">
        <v>36</v>
      </c>
      <c r="B22" s="23" t="s">
        <v>37</v>
      </c>
      <c r="C22" s="26"/>
      <c r="D22" s="26"/>
      <c r="E22" s="26"/>
      <c r="F22" s="26"/>
      <c r="G22" s="26"/>
      <c r="H22" s="27"/>
      <c r="I22" s="27">
        <f>I24*I23</f>
        <v>45.37050000000001</v>
      </c>
      <c r="J22" s="26"/>
      <c r="K22" s="27"/>
      <c r="L22" s="27">
        <v>94.3</v>
      </c>
      <c r="M22" s="27"/>
      <c r="N22" s="50">
        <f>N23*N24</f>
        <v>72.80669099999999</v>
      </c>
      <c r="O22" s="66"/>
      <c r="P22" s="67"/>
      <c r="Q22" s="85"/>
    </row>
    <row r="23" spans="1:17" s="29" customFormat="1" ht="12.75">
      <c r="A23" s="25"/>
      <c r="B23" s="23" t="s">
        <v>31</v>
      </c>
      <c r="C23" s="26"/>
      <c r="D23" s="26"/>
      <c r="E23" s="26"/>
      <c r="F23" s="26"/>
      <c r="G23" s="26"/>
      <c r="H23" s="27"/>
      <c r="I23" s="28">
        <v>1.5</v>
      </c>
      <c r="J23" s="26"/>
      <c r="K23" s="27"/>
      <c r="L23" s="27">
        <v>2.1</v>
      </c>
      <c r="M23" s="27"/>
      <c r="N23" s="49">
        <f>2.199*1.13</f>
        <v>2.4848699999999995</v>
      </c>
      <c r="O23" s="66"/>
      <c r="P23" s="67"/>
      <c r="Q23" s="84"/>
    </row>
    <row r="24" spans="1:17" s="29" customFormat="1" ht="12.75">
      <c r="A24" s="25"/>
      <c r="B24" s="23" t="s">
        <v>32</v>
      </c>
      <c r="C24" s="26"/>
      <c r="D24" s="26"/>
      <c r="E24" s="26"/>
      <c r="F24" s="26"/>
      <c r="G24" s="26"/>
      <c r="H24" s="27"/>
      <c r="I24" s="28">
        <f>I40-I18-I36</f>
        <v>30.247000000000007</v>
      </c>
      <c r="J24" s="26"/>
      <c r="K24" s="27"/>
      <c r="L24" s="27">
        <v>45.8</v>
      </c>
      <c r="M24" s="27"/>
      <c r="N24" s="50">
        <v>29.3</v>
      </c>
      <c r="O24" s="66"/>
      <c r="P24" s="67"/>
      <c r="Q24" s="85"/>
    </row>
    <row r="25" spans="1:17" s="29" customFormat="1" ht="12.75">
      <c r="A25" s="25" t="s">
        <v>38</v>
      </c>
      <c r="B25" s="23" t="s">
        <v>39</v>
      </c>
      <c r="C25" s="26"/>
      <c r="D25" s="26"/>
      <c r="E25" s="26"/>
      <c r="F25" s="26"/>
      <c r="G25" s="26"/>
      <c r="H25" s="27"/>
      <c r="I25" s="27"/>
      <c r="J25" s="26"/>
      <c r="K25" s="27"/>
      <c r="L25" s="27"/>
      <c r="M25" s="27"/>
      <c r="N25" s="50"/>
      <c r="O25" s="66"/>
      <c r="P25" s="67"/>
      <c r="Q25" s="85"/>
    </row>
    <row r="26" spans="1:17" s="29" customFormat="1" ht="12.75">
      <c r="A26" s="25"/>
      <c r="B26" s="23" t="s">
        <v>40</v>
      </c>
      <c r="C26" s="26"/>
      <c r="D26" s="26"/>
      <c r="E26" s="26"/>
      <c r="F26" s="26"/>
      <c r="G26" s="26"/>
      <c r="H26" s="27"/>
      <c r="I26" s="27"/>
      <c r="J26" s="26"/>
      <c r="K26" s="27"/>
      <c r="L26" s="27"/>
      <c r="M26" s="27"/>
      <c r="N26" s="50"/>
      <c r="O26" s="66"/>
      <c r="P26" s="67"/>
      <c r="Q26" s="85"/>
    </row>
    <row r="27" spans="1:17" s="29" customFormat="1" ht="12.75">
      <c r="A27" s="25"/>
      <c r="B27" s="23" t="s">
        <v>35</v>
      </c>
      <c r="C27" s="26"/>
      <c r="D27" s="26"/>
      <c r="E27" s="26"/>
      <c r="F27" s="26"/>
      <c r="G27" s="26"/>
      <c r="H27" s="27"/>
      <c r="I27" s="27"/>
      <c r="J27" s="26"/>
      <c r="K27" s="27"/>
      <c r="L27" s="27"/>
      <c r="M27" s="27"/>
      <c r="N27" s="50"/>
      <c r="O27" s="66"/>
      <c r="P27" s="67"/>
      <c r="Q27" s="85"/>
    </row>
    <row r="28" spans="1:17" s="29" customFormat="1" ht="12.75">
      <c r="A28" s="25" t="s">
        <v>41</v>
      </c>
      <c r="B28" s="23" t="s">
        <v>42</v>
      </c>
      <c r="C28" s="26"/>
      <c r="D28" s="26"/>
      <c r="E28" s="26"/>
      <c r="F28" s="26"/>
      <c r="G28" s="26"/>
      <c r="H28" s="27"/>
      <c r="I28" s="27"/>
      <c r="J28" s="26"/>
      <c r="K28" s="27"/>
      <c r="L28" s="27"/>
      <c r="M28" s="27"/>
      <c r="N28" s="50"/>
      <c r="O28" s="66"/>
      <c r="P28" s="67"/>
      <c r="Q28" s="85"/>
    </row>
    <row r="29" spans="1:17" s="29" customFormat="1" ht="12.75">
      <c r="A29" s="25"/>
      <c r="B29" s="23" t="s">
        <v>31</v>
      </c>
      <c r="C29" s="26"/>
      <c r="D29" s="26"/>
      <c r="E29" s="26"/>
      <c r="F29" s="26"/>
      <c r="G29" s="26"/>
      <c r="H29" s="27"/>
      <c r="I29" s="27"/>
      <c r="J29" s="26"/>
      <c r="K29" s="27"/>
      <c r="L29" s="27"/>
      <c r="M29" s="27"/>
      <c r="N29" s="50"/>
      <c r="O29" s="66"/>
      <c r="P29" s="67"/>
      <c r="Q29" s="85"/>
    </row>
    <row r="30" spans="1:17" s="29" customFormat="1" ht="12.75">
      <c r="A30" s="25"/>
      <c r="B30" s="23" t="s">
        <v>32</v>
      </c>
      <c r="C30" s="26"/>
      <c r="D30" s="26"/>
      <c r="E30" s="26"/>
      <c r="F30" s="26"/>
      <c r="G30" s="26"/>
      <c r="H30" s="27"/>
      <c r="I30" s="27"/>
      <c r="J30" s="26"/>
      <c r="K30" s="27"/>
      <c r="L30" s="27"/>
      <c r="M30" s="27"/>
      <c r="N30" s="50"/>
      <c r="O30" s="66"/>
      <c r="P30" s="67"/>
      <c r="Q30" s="85"/>
    </row>
    <row r="31" spans="1:17" s="29" customFormat="1" ht="12.75">
      <c r="A31" s="25" t="s">
        <v>43</v>
      </c>
      <c r="B31" s="23" t="s">
        <v>44</v>
      </c>
      <c r="C31" s="26"/>
      <c r="D31" s="26"/>
      <c r="E31" s="26"/>
      <c r="F31" s="26"/>
      <c r="G31" s="26"/>
      <c r="H31" s="27"/>
      <c r="I31" s="27"/>
      <c r="J31" s="26"/>
      <c r="K31" s="27"/>
      <c r="L31" s="27"/>
      <c r="M31" s="27"/>
      <c r="N31" s="50"/>
      <c r="O31" s="66"/>
      <c r="P31" s="67"/>
      <c r="Q31" s="85"/>
    </row>
    <row r="32" spans="1:17" s="29" customFormat="1" ht="25.5">
      <c r="A32" s="25"/>
      <c r="B32" s="23" t="s">
        <v>34</v>
      </c>
      <c r="C32" s="26"/>
      <c r="D32" s="26"/>
      <c r="E32" s="26"/>
      <c r="F32" s="26"/>
      <c r="G32" s="26"/>
      <c r="H32" s="27"/>
      <c r="I32" s="27"/>
      <c r="J32" s="26"/>
      <c r="K32" s="27"/>
      <c r="L32" s="27"/>
      <c r="M32" s="27"/>
      <c r="N32" s="50"/>
      <c r="O32" s="66"/>
      <c r="P32" s="67"/>
      <c r="Q32" s="85"/>
    </row>
    <row r="33" spans="1:17" s="29" customFormat="1" ht="12.75">
      <c r="A33" s="25"/>
      <c r="B33" s="23" t="s">
        <v>35</v>
      </c>
      <c r="C33" s="26"/>
      <c r="D33" s="26"/>
      <c r="E33" s="26"/>
      <c r="F33" s="26"/>
      <c r="G33" s="26"/>
      <c r="H33" s="27"/>
      <c r="I33" s="27"/>
      <c r="J33" s="26"/>
      <c r="K33" s="27"/>
      <c r="L33" s="27"/>
      <c r="M33" s="27"/>
      <c r="N33" s="50"/>
      <c r="O33" s="66"/>
      <c r="P33" s="67"/>
      <c r="Q33" s="85"/>
    </row>
    <row r="34" spans="1:17" s="29" customFormat="1" ht="25.5">
      <c r="A34" s="25" t="s">
        <v>45</v>
      </c>
      <c r="B34" s="23" t="s">
        <v>46</v>
      </c>
      <c r="C34" s="26"/>
      <c r="D34" s="26"/>
      <c r="E34" s="26"/>
      <c r="F34" s="26"/>
      <c r="G34" s="26"/>
      <c r="H34" s="27"/>
      <c r="I34" s="28">
        <f>I35*I36</f>
        <v>134.23957900000002</v>
      </c>
      <c r="J34" s="26"/>
      <c r="K34" s="27"/>
      <c r="L34" s="27"/>
      <c r="M34" s="27"/>
      <c r="N34" s="50">
        <f>N35*N36</f>
        <v>206.01679999999996</v>
      </c>
      <c r="O34" s="66"/>
      <c r="P34" s="67"/>
      <c r="Q34" s="85"/>
    </row>
    <row r="35" spans="1:17" s="29" customFormat="1" ht="12.75">
      <c r="A35" s="25"/>
      <c r="B35" s="23" t="s">
        <v>31</v>
      </c>
      <c r="C35" s="26"/>
      <c r="D35" s="26"/>
      <c r="E35" s="26"/>
      <c r="F35" s="26"/>
      <c r="G35" s="26"/>
      <c r="H35" s="27"/>
      <c r="I35" s="28">
        <v>2.43629</v>
      </c>
      <c r="J35" s="26"/>
      <c r="K35" s="27"/>
      <c r="L35" s="27"/>
      <c r="M35" s="27"/>
      <c r="N35" s="49">
        <v>3.1405</v>
      </c>
      <c r="O35" s="66"/>
      <c r="P35" s="67"/>
      <c r="Q35" s="84"/>
    </row>
    <row r="36" spans="1:17" s="29" customFormat="1" ht="12.75">
      <c r="A36" s="25"/>
      <c r="B36" s="23" t="s">
        <v>32</v>
      </c>
      <c r="C36" s="26"/>
      <c r="D36" s="26"/>
      <c r="E36" s="26"/>
      <c r="F36" s="26"/>
      <c r="G36" s="26"/>
      <c r="H36" s="27"/>
      <c r="I36" s="27">
        <v>55.1</v>
      </c>
      <c r="J36" s="26"/>
      <c r="K36" s="27"/>
      <c r="L36" s="27"/>
      <c r="M36" s="27"/>
      <c r="N36" s="50">
        <v>65.6</v>
      </c>
      <c r="O36" s="66"/>
      <c r="P36" s="67"/>
      <c r="Q36" s="85"/>
    </row>
    <row r="37" spans="1:17" s="29" customFormat="1" ht="25.5">
      <c r="A37" s="25" t="s">
        <v>47</v>
      </c>
      <c r="B37" s="23" t="s">
        <v>48</v>
      </c>
      <c r="C37" s="26"/>
      <c r="D37" s="26"/>
      <c r="E37" s="26"/>
      <c r="F37" s="26"/>
      <c r="G37" s="26"/>
      <c r="H37" s="27"/>
      <c r="I37" s="27"/>
      <c r="J37" s="26"/>
      <c r="K37" s="27"/>
      <c r="L37" s="27">
        <v>185.3</v>
      </c>
      <c r="M37" s="27"/>
      <c r="N37" s="50"/>
      <c r="O37" s="66"/>
      <c r="P37" s="67"/>
      <c r="Q37" s="85"/>
    </row>
    <row r="38" spans="1:17" s="29" customFormat="1" ht="12.75">
      <c r="A38" s="25"/>
      <c r="B38" s="23" t="s">
        <v>49</v>
      </c>
      <c r="C38" s="26"/>
      <c r="D38" s="26"/>
      <c r="E38" s="26"/>
      <c r="F38" s="26"/>
      <c r="G38" s="26"/>
      <c r="H38" s="27"/>
      <c r="I38" s="27"/>
      <c r="J38" s="26"/>
      <c r="K38" s="27"/>
      <c r="L38" s="27">
        <v>2.5522</v>
      </c>
      <c r="M38" s="27"/>
      <c r="N38" s="50"/>
      <c r="O38" s="66"/>
      <c r="P38" s="67"/>
      <c r="Q38" s="85"/>
    </row>
    <row r="39" spans="1:17" s="29" customFormat="1" ht="12.75">
      <c r="A39" s="25"/>
      <c r="B39" s="23" t="s">
        <v>35</v>
      </c>
      <c r="C39" s="26"/>
      <c r="D39" s="26"/>
      <c r="E39" s="26"/>
      <c r="F39" s="26"/>
      <c r="G39" s="26"/>
      <c r="H39" s="27"/>
      <c r="I39" s="27"/>
      <c r="J39" s="26"/>
      <c r="K39" s="27"/>
      <c r="L39" s="27">
        <v>72.6</v>
      </c>
      <c r="M39" s="27"/>
      <c r="N39" s="50"/>
      <c r="O39" s="66"/>
      <c r="P39" s="67"/>
      <c r="Q39" s="85"/>
    </row>
    <row r="40" spans="1:17" ht="12.75">
      <c r="A40" s="30"/>
      <c r="B40" s="23" t="s">
        <v>50</v>
      </c>
      <c r="C40" s="16"/>
      <c r="D40" s="17">
        <f>D42*D4</f>
        <v>220.62300000000002</v>
      </c>
      <c r="E40" s="16"/>
      <c r="F40" s="16"/>
      <c r="G40" s="16">
        <v>179.398</v>
      </c>
      <c r="H40" s="17">
        <f>H42*H4</f>
        <v>204.2267799</v>
      </c>
      <c r="I40" s="19">
        <v>174.597</v>
      </c>
      <c r="J40" s="16"/>
      <c r="K40" s="17">
        <f>K42*K4</f>
        <v>174.44388</v>
      </c>
      <c r="L40" s="17">
        <v>164.1</v>
      </c>
      <c r="M40" s="17"/>
      <c r="N40" s="51">
        <f>N42*N4</f>
        <v>172.9767</v>
      </c>
      <c r="O40" s="68">
        <v>147.7</v>
      </c>
      <c r="P40" s="64"/>
      <c r="Q40" s="86">
        <v>162.9</v>
      </c>
    </row>
    <row r="41" spans="1:17" ht="12.75">
      <c r="A41" s="30"/>
      <c r="B41" s="23" t="s">
        <v>51</v>
      </c>
      <c r="C41" s="16"/>
      <c r="D41" s="16">
        <v>1.95</v>
      </c>
      <c r="E41" s="16"/>
      <c r="F41" s="2">
        <v>1.175</v>
      </c>
      <c r="G41" s="32">
        <f>G15/G40</f>
        <v>2.0161874714322345</v>
      </c>
      <c r="H41" s="18">
        <f>D41*F41</f>
        <v>2.2912500000000002</v>
      </c>
      <c r="I41" s="31">
        <f>I15/I40</f>
        <v>2.0821663602467395</v>
      </c>
      <c r="J41" s="2">
        <v>1.26</v>
      </c>
      <c r="K41" s="18">
        <f>H41*J41</f>
        <v>2.8869750000000005</v>
      </c>
      <c r="L41" s="18">
        <v>2.37</v>
      </c>
      <c r="M41" s="18"/>
      <c r="N41" s="47">
        <f>N15/N40</f>
        <v>2.8443970708448014</v>
      </c>
      <c r="O41" s="68">
        <v>4.013</v>
      </c>
      <c r="P41" s="64"/>
      <c r="Q41" s="87">
        <v>4.013</v>
      </c>
    </row>
    <row r="42" spans="1:17" ht="12.75" customHeight="1">
      <c r="A42" s="30"/>
      <c r="B42" s="23" t="s">
        <v>52</v>
      </c>
      <c r="C42" s="16"/>
      <c r="D42" s="16">
        <v>0.39</v>
      </c>
      <c r="E42" s="16"/>
      <c r="F42" s="16"/>
      <c r="G42" s="18">
        <f>G40/G4</f>
        <v>0.3775059498883673</v>
      </c>
      <c r="H42" s="18">
        <v>0.39</v>
      </c>
      <c r="I42" s="18">
        <f>I40/I4</f>
        <v>0.40664477361654555</v>
      </c>
      <c r="J42" s="16"/>
      <c r="K42" s="16">
        <v>0.39</v>
      </c>
      <c r="L42" s="16">
        <v>0.39</v>
      </c>
      <c r="M42" s="16"/>
      <c r="N42" s="52">
        <v>0.39</v>
      </c>
      <c r="O42" s="63">
        <v>0.35</v>
      </c>
      <c r="P42" s="64"/>
      <c r="Q42" s="88">
        <v>0.39</v>
      </c>
    </row>
    <row r="43" spans="1:17" ht="12.75">
      <c r="A43" s="30">
        <v>39114</v>
      </c>
      <c r="B43" s="23" t="s">
        <v>53</v>
      </c>
      <c r="C43" s="16">
        <v>5.6</v>
      </c>
      <c r="D43" s="16">
        <v>26.9</v>
      </c>
      <c r="E43" s="16">
        <v>22.3</v>
      </c>
      <c r="F43" s="16"/>
      <c r="G43" s="16">
        <v>22.3</v>
      </c>
      <c r="H43" s="17">
        <v>22.3482</v>
      </c>
      <c r="I43" s="18">
        <v>25.41</v>
      </c>
      <c r="J43" s="16"/>
      <c r="K43" s="16">
        <v>22.3</v>
      </c>
      <c r="L43" s="16">
        <v>26</v>
      </c>
      <c r="M43" s="16"/>
      <c r="N43" s="51">
        <v>29.7</v>
      </c>
      <c r="O43" s="69">
        <v>29.7</v>
      </c>
      <c r="P43" s="64"/>
      <c r="Q43" s="86">
        <v>29.7</v>
      </c>
    </row>
    <row r="44" spans="1:19" ht="12.75">
      <c r="A44" s="30">
        <v>39142</v>
      </c>
      <c r="B44" s="23" t="s">
        <v>54</v>
      </c>
      <c r="C44" s="16">
        <v>829.4</v>
      </c>
      <c r="D44" s="16">
        <v>1122.5</v>
      </c>
      <c r="E44" s="16">
        <v>1206.7</v>
      </c>
      <c r="F44" s="16">
        <v>1</v>
      </c>
      <c r="G44" s="16">
        <v>820.4</v>
      </c>
      <c r="H44" s="17">
        <f>D44*1.06</f>
        <v>1189.8500000000001</v>
      </c>
      <c r="I44" s="18">
        <v>1269.76</v>
      </c>
      <c r="J44" s="16">
        <v>1.083</v>
      </c>
      <c r="K44" s="17">
        <f>(H44-H45)*1.083</f>
        <v>1201.590666</v>
      </c>
      <c r="L44" s="17">
        <v>1050.9</v>
      </c>
      <c r="M44" s="17"/>
      <c r="N44" s="51">
        <f>K44*0.9+N45</f>
        <v>1263.2315994</v>
      </c>
      <c r="O44" s="69">
        <v>1620.3</v>
      </c>
      <c r="P44" s="63"/>
      <c r="Q44" s="86">
        <v>1351.4</v>
      </c>
      <c r="R44" s="22"/>
      <c r="S44" s="22"/>
    </row>
    <row r="45" spans="1:19" ht="12.75">
      <c r="A45" s="30"/>
      <c r="B45" s="23" t="s">
        <v>55</v>
      </c>
      <c r="C45" s="16"/>
      <c r="D45" s="16">
        <v>75.8</v>
      </c>
      <c r="E45" s="16">
        <v>81.5</v>
      </c>
      <c r="F45" s="16"/>
      <c r="G45" s="16"/>
      <c r="H45" s="17">
        <f>D45*1.06</f>
        <v>80.348</v>
      </c>
      <c r="I45" s="18">
        <v>36.49</v>
      </c>
      <c r="J45" s="16"/>
      <c r="K45" s="16"/>
      <c r="L45" s="16"/>
      <c r="M45" s="16"/>
      <c r="N45" s="51">
        <v>181.8</v>
      </c>
      <c r="O45" s="63"/>
      <c r="P45" s="64"/>
      <c r="Q45" s="86"/>
      <c r="R45" s="22"/>
      <c r="S45" s="22"/>
    </row>
    <row r="46" spans="1:17" s="2" customFormat="1" ht="12.75">
      <c r="A46" s="30">
        <v>39173</v>
      </c>
      <c r="B46" s="23" t="s">
        <v>56</v>
      </c>
      <c r="C46" s="18">
        <f>312.5+312.5*0.151</f>
        <v>359.6875</v>
      </c>
      <c r="D46" s="16">
        <v>123.6</v>
      </c>
      <c r="E46" s="16">
        <v>123.6</v>
      </c>
      <c r="F46" s="16">
        <v>1.06</v>
      </c>
      <c r="G46" s="16">
        <v>349.9</v>
      </c>
      <c r="H46" s="17">
        <f>D46*1.108</f>
        <v>136.9488</v>
      </c>
      <c r="I46" s="18">
        <v>407.91</v>
      </c>
      <c r="J46" s="16">
        <v>1.132</v>
      </c>
      <c r="K46" s="17">
        <f>H46*J46</f>
        <v>155.02604159999999</v>
      </c>
      <c r="L46" s="17">
        <v>424.4</v>
      </c>
      <c r="M46" s="17">
        <v>1</v>
      </c>
      <c r="N46" s="51">
        <f>K46*M46</f>
        <v>155.02604159999999</v>
      </c>
      <c r="O46" s="69">
        <v>158.7</v>
      </c>
      <c r="P46" s="63">
        <v>1.059</v>
      </c>
      <c r="Q46" s="86">
        <f>N46*P46</f>
        <v>164.17257805439996</v>
      </c>
    </row>
    <row r="47" spans="1:17" s="2" customFormat="1" ht="12.75">
      <c r="A47" s="30"/>
      <c r="B47" s="23" t="s">
        <v>57</v>
      </c>
      <c r="C47" s="17">
        <v>26.2</v>
      </c>
      <c r="D47" s="16">
        <v>26.2</v>
      </c>
      <c r="E47" s="16">
        <v>26.2</v>
      </c>
      <c r="F47" s="16"/>
      <c r="G47" s="17">
        <f>G48/G46*100</f>
        <v>26.150328665332957</v>
      </c>
      <c r="H47" s="17">
        <f>D47</f>
        <v>26.2</v>
      </c>
      <c r="I47" s="17">
        <f>I48/I46*100</f>
        <v>24.863327694834645</v>
      </c>
      <c r="J47" s="16"/>
      <c r="K47" s="16">
        <v>26.2</v>
      </c>
      <c r="L47" s="16">
        <v>24.2</v>
      </c>
      <c r="M47" s="16"/>
      <c r="N47" s="51">
        <v>26.2</v>
      </c>
      <c r="O47" s="63">
        <v>34.2</v>
      </c>
      <c r="P47" s="63"/>
      <c r="Q47" s="86">
        <v>34.2</v>
      </c>
    </row>
    <row r="48" spans="1:17" s="2" customFormat="1" ht="12.75">
      <c r="A48" s="30">
        <v>39203</v>
      </c>
      <c r="B48" s="23" t="s">
        <v>58</v>
      </c>
      <c r="C48" s="18">
        <f>C46*0.262</f>
        <v>94.23812500000001</v>
      </c>
      <c r="D48" s="16">
        <v>32.4</v>
      </c>
      <c r="E48" s="16">
        <v>32.4</v>
      </c>
      <c r="F48" s="16"/>
      <c r="G48" s="16">
        <v>91.5</v>
      </c>
      <c r="H48" s="17">
        <f>H46*H47/100</f>
        <v>35.880585599999996</v>
      </c>
      <c r="I48" s="18">
        <v>101.42</v>
      </c>
      <c r="J48" s="16"/>
      <c r="K48" s="17">
        <f>K46*0.262</f>
        <v>40.616822899199995</v>
      </c>
      <c r="L48" s="17">
        <v>102.7</v>
      </c>
      <c r="M48" s="17">
        <v>1</v>
      </c>
      <c r="N48" s="51">
        <f>K48*M48</f>
        <v>40.616822899199995</v>
      </c>
      <c r="O48" s="69">
        <v>54</v>
      </c>
      <c r="P48" s="63"/>
      <c r="Q48" s="86">
        <v>56.1</v>
      </c>
    </row>
    <row r="49" spans="1:23" ht="12.75">
      <c r="A49" s="30">
        <v>39234</v>
      </c>
      <c r="B49" s="23" t="s">
        <v>59</v>
      </c>
      <c r="C49" s="17">
        <f>126.9-312.5*0.151</f>
        <v>79.7125</v>
      </c>
      <c r="D49" s="16">
        <v>94.2</v>
      </c>
      <c r="E49" s="16">
        <v>148.1</v>
      </c>
      <c r="F49" s="16">
        <v>1.06</v>
      </c>
      <c r="G49" s="16">
        <v>142.6</v>
      </c>
      <c r="H49" s="17">
        <f>D49*1.06-13.3</f>
        <v>86.552</v>
      </c>
      <c r="I49" s="18">
        <v>129.46</v>
      </c>
      <c r="J49" s="16">
        <v>1.083</v>
      </c>
      <c r="K49" s="17">
        <f>H49*J49</f>
        <v>93.735816</v>
      </c>
      <c r="L49" s="17">
        <v>114.5</v>
      </c>
      <c r="M49" s="18">
        <v>1.13</v>
      </c>
      <c r="N49" s="51">
        <f>K49*M49</f>
        <v>105.92147207999999</v>
      </c>
      <c r="O49" s="63">
        <v>294.9</v>
      </c>
      <c r="P49" s="63"/>
      <c r="Q49" s="86">
        <v>310.5</v>
      </c>
      <c r="T49" s="22"/>
      <c r="U49" s="22"/>
      <c r="V49" s="22"/>
      <c r="W49" s="22"/>
    </row>
    <row r="50" spans="1:23" ht="12.75">
      <c r="A50" s="30"/>
      <c r="B50" s="77" t="s">
        <v>107</v>
      </c>
      <c r="C50" s="17"/>
      <c r="D50" s="16"/>
      <c r="E50" s="16"/>
      <c r="F50" s="16"/>
      <c r="G50" s="16"/>
      <c r="H50" s="17"/>
      <c r="I50" s="18"/>
      <c r="J50" s="16"/>
      <c r="K50" s="17"/>
      <c r="L50" s="17">
        <v>48.7</v>
      </c>
      <c r="M50" s="18"/>
      <c r="N50" s="51">
        <v>51.9</v>
      </c>
      <c r="O50" s="63">
        <v>49.9</v>
      </c>
      <c r="P50" s="63">
        <v>1.059</v>
      </c>
      <c r="Q50" s="86">
        <v>55</v>
      </c>
      <c r="T50" s="22"/>
      <c r="U50" s="22"/>
      <c r="V50" s="22"/>
      <c r="W50" s="22"/>
    </row>
    <row r="51" spans="1:23" ht="12.75">
      <c r="A51" s="30"/>
      <c r="B51" s="77" t="s">
        <v>108</v>
      </c>
      <c r="C51" s="17"/>
      <c r="D51" s="16"/>
      <c r="E51" s="16"/>
      <c r="F51" s="16"/>
      <c r="G51" s="16"/>
      <c r="H51" s="17"/>
      <c r="I51" s="18"/>
      <c r="J51" s="16"/>
      <c r="K51" s="17"/>
      <c r="L51" s="17">
        <v>12.7</v>
      </c>
      <c r="M51" s="18"/>
      <c r="N51" s="51">
        <v>13.5</v>
      </c>
      <c r="O51" s="63">
        <v>17</v>
      </c>
      <c r="P51" s="63"/>
      <c r="Q51" s="86">
        <v>18.8</v>
      </c>
      <c r="T51" s="22"/>
      <c r="U51" s="22"/>
      <c r="V51" s="22"/>
      <c r="W51" s="22"/>
    </row>
    <row r="52" spans="1:23" ht="12.75">
      <c r="A52" s="30"/>
      <c r="B52" s="23" t="s">
        <v>60</v>
      </c>
      <c r="C52" s="17"/>
      <c r="D52" s="16"/>
      <c r="E52" s="16"/>
      <c r="F52" s="16"/>
      <c r="G52" s="16"/>
      <c r="H52" s="17"/>
      <c r="I52" s="17"/>
      <c r="J52" s="16"/>
      <c r="K52" s="16">
        <v>93.7</v>
      </c>
      <c r="L52" s="16">
        <v>39.1</v>
      </c>
      <c r="M52" s="16"/>
      <c r="N52" s="51">
        <v>40.5</v>
      </c>
      <c r="O52" s="63">
        <v>179.8</v>
      </c>
      <c r="P52" s="63">
        <v>1.135</v>
      </c>
      <c r="Q52" s="86">
        <v>179.8</v>
      </c>
      <c r="T52" s="22"/>
      <c r="U52" s="22"/>
      <c r="V52" s="22"/>
      <c r="W52" s="22"/>
    </row>
    <row r="53" spans="1:17" s="22" customFormat="1" ht="12.75">
      <c r="A53" s="24" t="s">
        <v>21</v>
      </c>
      <c r="B53" s="20" t="s">
        <v>61</v>
      </c>
      <c r="C53" s="11">
        <f>C54+C82+C83+C84+C88+C89+C90</f>
        <v>1318.0532586</v>
      </c>
      <c r="D53" s="10">
        <f>D54+D82+D83+D84+D88+D89+D90</f>
        <v>1768.5</v>
      </c>
      <c r="E53" s="10">
        <f>E54+E82+E83+E84+E88+E89+E90</f>
        <v>1973.5</v>
      </c>
      <c r="F53" s="10"/>
      <c r="G53" s="10">
        <f>G54+G82+G83+G84+G88+G89+G90</f>
        <v>1327.8</v>
      </c>
      <c r="H53" s="11">
        <f>H54+H82+H83+H84+H88+H89+H90</f>
        <v>1833.6706150665</v>
      </c>
      <c r="I53" s="11">
        <f>I54+I82+I83+I84+I88+I89+I90</f>
        <v>1430.276794</v>
      </c>
      <c r="J53" s="10"/>
      <c r="K53" s="11">
        <f>K54+K82+K83+K84+K88+K89+K90</f>
        <v>2041.5750586376003</v>
      </c>
      <c r="L53" s="11">
        <v>1751.1</v>
      </c>
      <c r="M53" s="11"/>
      <c r="N53" s="48">
        <f>N54+N82+N83+N84+N88+N89+N90</f>
        <v>2120.54168838</v>
      </c>
      <c r="O53" s="65">
        <v>2866.2</v>
      </c>
      <c r="P53" s="62"/>
      <c r="Q53" s="83">
        <f>Q54+Q82+Q83+Q84+Q88+Q89+Q90</f>
        <v>2601.8689212</v>
      </c>
    </row>
    <row r="54" spans="1:21" ht="25.5">
      <c r="A54" s="25">
        <v>39814</v>
      </c>
      <c r="B54" s="23" t="s">
        <v>28</v>
      </c>
      <c r="C54" s="16">
        <v>213.6</v>
      </c>
      <c r="D54" s="16">
        <v>283.2</v>
      </c>
      <c r="E54" s="16">
        <v>427.2</v>
      </c>
      <c r="F54" s="16"/>
      <c r="G54" s="16">
        <v>294.6</v>
      </c>
      <c r="H54" s="17">
        <f>H79*H80</f>
        <v>313.9468150665</v>
      </c>
      <c r="I54" s="18">
        <f>I55+I61+I73</f>
        <v>373.23679400000003</v>
      </c>
      <c r="J54" s="16"/>
      <c r="K54" s="17">
        <f>K80*K79</f>
        <v>338.14709303760003</v>
      </c>
      <c r="L54" s="17">
        <v>353.7</v>
      </c>
      <c r="M54" s="17"/>
      <c r="N54" s="51">
        <f>N55+N61+N73</f>
        <v>387.29321260000006</v>
      </c>
      <c r="O54" s="69">
        <v>557.2</v>
      </c>
      <c r="P54" s="63"/>
      <c r="Q54" s="86">
        <v>518.5</v>
      </c>
      <c r="T54" s="22"/>
      <c r="U54" s="22"/>
    </row>
    <row r="55" spans="1:21" ht="12.75">
      <c r="A55" s="25" t="s">
        <v>29</v>
      </c>
      <c r="B55" s="23" t="s">
        <v>30</v>
      </c>
      <c r="C55" s="16"/>
      <c r="D55" s="16"/>
      <c r="E55" s="16"/>
      <c r="F55" s="16"/>
      <c r="G55" s="16"/>
      <c r="H55" s="17"/>
      <c r="I55" s="17">
        <f>I56*I57</f>
        <v>129.09</v>
      </c>
      <c r="J55" s="16"/>
      <c r="K55" s="17"/>
      <c r="L55" s="17"/>
      <c r="M55" s="17"/>
      <c r="N55" s="51">
        <f>N56*N57</f>
        <v>92.11930000000001</v>
      </c>
      <c r="O55" s="69"/>
      <c r="P55" s="63"/>
      <c r="Q55" s="86"/>
      <c r="T55" s="22"/>
      <c r="U55" s="22"/>
    </row>
    <row r="56" spans="1:21" ht="12.75">
      <c r="A56" s="25"/>
      <c r="B56" s="23" t="s">
        <v>31</v>
      </c>
      <c r="C56" s="16"/>
      <c r="D56" s="16"/>
      <c r="E56" s="16"/>
      <c r="F56" s="16"/>
      <c r="G56" s="16"/>
      <c r="H56" s="17"/>
      <c r="I56" s="18">
        <v>1.95</v>
      </c>
      <c r="J56" s="16"/>
      <c r="K56" s="17"/>
      <c r="L56" s="17"/>
      <c r="M56" s="17"/>
      <c r="N56" s="47">
        <v>2.483</v>
      </c>
      <c r="O56" s="69"/>
      <c r="P56" s="63"/>
      <c r="Q56" s="87"/>
      <c r="T56" s="22"/>
      <c r="U56" s="22"/>
    </row>
    <row r="57" spans="1:21" ht="12.75">
      <c r="A57" s="25"/>
      <c r="B57" s="23" t="s">
        <v>32</v>
      </c>
      <c r="C57" s="16"/>
      <c r="D57" s="16"/>
      <c r="E57" s="16"/>
      <c r="F57" s="16"/>
      <c r="G57" s="16"/>
      <c r="H57" s="17"/>
      <c r="I57" s="17">
        <v>66.2</v>
      </c>
      <c r="J57" s="16"/>
      <c r="K57" s="17"/>
      <c r="L57" s="17"/>
      <c r="M57" s="17"/>
      <c r="N57" s="51">
        <v>37.1</v>
      </c>
      <c r="O57" s="69"/>
      <c r="P57" s="63"/>
      <c r="Q57" s="86"/>
      <c r="T57" s="22"/>
      <c r="U57" s="22"/>
    </row>
    <row r="58" spans="1:21" ht="12.75">
      <c r="A58" s="25" t="s">
        <v>33</v>
      </c>
      <c r="B58" s="23"/>
      <c r="C58" s="16"/>
      <c r="D58" s="16"/>
      <c r="E58" s="16"/>
      <c r="F58" s="16"/>
      <c r="G58" s="16"/>
      <c r="H58" s="17"/>
      <c r="I58" s="17"/>
      <c r="J58" s="16"/>
      <c r="K58" s="17"/>
      <c r="L58" s="17"/>
      <c r="M58" s="17"/>
      <c r="N58" s="51"/>
      <c r="O58" s="69"/>
      <c r="P58" s="63"/>
      <c r="Q58" s="86"/>
      <c r="T58" s="22"/>
      <c r="U58" s="22"/>
    </row>
    <row r="59" spans="1:21" ht="25.5">
      <c r="A59" s="25"/>
      <c r="B59" s="23" t="s">
        <v>34</v>
      </c>
      <c r="C59" s="16"/>
      <c r="D59" s="16"/>
      <c r="E59" s="16"/>
      <c r="F59" s="16"/>
      <c r="G59" s="16"/>
      <c r="H59" s="17"/>
      <c r="I59" s="17"/>
      <c r="J59" s="16"/>
      <c r="K59" s="17"/>
      <c r="L59" s="17"/>
      <c r="M59" s="17"/>
      <c r="N59" s="51"/>
      <c r="O59" s="69"/>
      <c r="P59" s="63"/>
      <c r="Q59" s="86"/>
      <c r="T59" s="22"/>
      <c r="U59" s="22"/>
    </row>
    <row r="60" spans="1:21" ht="12.75">
      <c r="A60" s="25"/>
      <c r="B60" s="23" t="s">
        <v>35</v>
      </c>
      <c r="C60" s="16"/>
      <c r="D60" s="16"/>
      <c r="E60" s="16"/>
      <c r="F60" s="16"/>
      <c r="G60" s="16"/>
      <c r="H60" s="17"/>
      <c r="I60" s="17"/>
      <c r="J60" s="16"/>
      <c r="K60" s="17"/>
      <c r="L60" s="17"/>
      <c r="M60" s="17"/>
      <c r="N60" s="51"/>
      <c r="O60" s="69"/>
      <c r="P60" s="63"/>
      <c r="Q60" s="86"/>
      <c r="T60" s="22"/>
      <c r="U60" s="22"/>
    </row>
    <row r="61" spans="1:21" ht="12.75">
      <c r="A61" s="25" t="s">
        <v>36</v>
      </c>
      <c r="B61" s="23" t="s">
        <v>37</v>
      </c>
      <c r="C61" s="16"/>
      <c r="D61" s="16"/>
      <c r="E61" s="16"/>
      <c r="F61" s="16"/>
      <c r="G61" s="16"/>
      <c r="H61" s="17"/>
      <c r="I61" s="17">
        <f>I62*I63</f>
        <v>82.614</v>
      </c>
      <c r="J61" s="16"/>
      <c r="K61" s="17"/>
      <c r="L61" s="17">
        <v>186.5</v>
      </c>
      <c r="M61" s="17"/>
      <c r="N61" s="51">
        <f>N62*N63</f>
        <v>73.47059999999999</v>
      </c>
      <c r="O61" s="69"/>
      <c r="P61" s="63"/>
      <c r="Q61" s="86"/>
      <c r="T61" s="22"/>
      <c r="U61" s="22"/>
    </row>
    <row r="62" spans="1:21" ht="12.75">
      <c r="A62" s="25"/>
      <c r="B62" s="23" t="s">
        <v>31</v>
      </c>
      <c r="C62" s="16"/>
      <c r="D62" s="16"/>
      <c r="E62" s="16"/>
      <c r="F62" s="16"/>
      <c r="G62" s="16"/>
      <c r="H62" s="17"/>
      <c r="I62" s="18">
        <v>1.47</v>
      </c>
      <c r="J62" s="16"/>
      <c r="K62" s="17"/>
      <c r="L62" s="17">
        <v>2.0596</v>
      </c>
      <c r="M62" s="17"/>
      <c r="N62" s="47">
        <v>2.142</v>
      </c>
      <c r="O62" s="69"/>
      <c r="P62" s="63"/>
      <c r="Q62" s="87"/>
      <c r="T62" s="22"/>
      <c r="U62" s="22"/>
    </row>
    <row r="63" spans="1:21" ht="12.75">
      <c r="A63" s="25"/>
      <c r="B63" s="23" t="s">
        <v>32</v>
      </c>
      <c r="C63" s="16"/>
      <c r="D63" s="16"/>
      <c r="E63" s="16"/>
      <c r="F63" s="16"/>
      <c r="G63" s="16"/>
      <c r="H63" s="17"/>
      <c r="I63" s="17">
        <v>56.2</v>
      </c>
      <c r="J63" s="16"/>
      <c r="K63" s="17"/>
      <c r="L63" s="17">
        <v>90.531</v>
      </c>
      <c r="M63" s="17"/>
      <c r="N63" s="51">
        <v>34.3</v>
      </c>
      <c r="O63" s="69"/>
      <c r="P63" s="63"/>
      <c r="Q63" s="86"/>
      <c r="T63" s="22"/>
      <c r="U63" s="22"/>
    </row>
    <row r="64" spans="1:21" ht="12.75">
      <c r="A64" s="25" t="s">
        <v>38</v>
      </c>
      <c r="B64" s="23" t="s">
        <v>39</v>
      </c>
      <c r="C64" s="16"/>
      <c r="D64" s="16"/>
      <c r="E64" s="16"/>
      <c r="F64" s="16"/>
      <c r="G64" s="16"/>
      <c r="H64" s="17"/>
      <c r="I64" s="17"/>
      <c r="J64" s="16"/>
      <c r="K64" s="17"/>
      <c r="L64" s="17"/>
      <c r="M64" s="17"/>
      <c r="N64" s="51"/>
      <c r="O64" s="69"/>
      <c r="P64" s="63"/>
      <c r="Q64" s="86"/>
      <c r="T64" s="22"/>
      <c r="U64" s="22"/>
    </row>
    <row r="65" spans="1:21" ht="12.75">
      <c r="A65" s="25"/>
      <c r="B65" s="23" t="s">
        <v>40</v>
      </c>
      <c r="C65" s="16"/>
      <c r="D65" s="16"/>
      <c r="E65" s="16"/>
      <c r="F65" s="16"/>
      <c r="G65" s="16"/>
      <c r="H65" s="17"/>
      <c r="I65" s="17"/>
      <c r="J65" s="16"/>
      <c r="K65" s="17"/>
      <c r="L65" s="17"/>
      <c r="M65" s="17"/>
      <c r="N65" s="51"/>
      <c r="O65" s="69"/>
      <c r="P65" s="63"/>
      <c r="Q65" s="86"/>
      <c r="T65" s="22"/>
      <c r="U65" s="22"/>
    </row>
    <row r="66" spans="1:21" ht="12.75">
      <c r="A66" s="25"/>
      <c r="B66" s="23" t="s">
        <v>35</v>
      </c>
      <c r="C66" s="16"/>
      <c r="D66" s="16"/>
      <c r="E66" s="16"/>
      <c r="F66" s="16"/>
      <c r="G66" s="16"/>
      <c r="H66" s="17"/>
      <c r="I66" s="17"/>
      <c r="J66" s="16"/>
      <c r="K66" s="17"/>
      <c r="L66" s="17"/>
      <c r="M66" s="17"/>
      <c r="N66" s="51"/>
      <c r="O66" s="69"/>
      <c r="P66" s="63"/>
      <c r="Q66" s="86"/>
      <c r="T66" s="22"/>
      <c r="U66" s="22"/>
    </row>
    <row r="67" spans="1:21" ht="12.75">
      <c r="A67" s="25" t="s">
        <v>41</v>
      </c>
      <c r="B67" s="23" t="s">
        <v>42</v>
      </c>
      <c r="C67" s="16"/>
      <c r="D67" s="16"/>
      <c r="E67" s="16"/>
      <c r="F67" s="16"/>
      <c r="G67" s="16"/>
      <c r="H67" s="17"/>
      <c r="I67" s="17"/>
      <c r="J67" s="16"/>
      <c r="K67" s="17"/>
      <c r="L67" s="17"/>
      <c r="M67" s="17"/>
      <c r="N67" s="51"/>
      <c r="O67" s="69"/>
      <c r="P67" s="63"/>
      <c r="Q67" s="86"/>
      <c r="T67" s="22"/>
      <c r="U67" s="22"/>
    </row>
    <row r="68" spans="1:21" ht="12.75">
      <c r="A68" s="25"/>
      <c r="B68" s="23" t="s">
        <v>31</v>
      </c>
      <c r="C68" s="16"/>
      <c r="D68" s="16"/>
      <c r="E68" s="16"/>
      <c r="F68" s="16"/>
      <c r="G68" s="16"/>
      <c r="H68" s="17"/>
      <c r="I68" s="17"/>
      <c r="J68" s="16"/>
      <c r="K68" s="17"/>
      <c r="L68" s="17"/>
      <c r="M68" s="17"/>
      <c r="N68" s="51"/>
      <c r="O68" s="69"/>
      <c r="P68" s="63"/>
      <c r="Q68" s="86"/>
      <c r="T68" s="22"/>
      <c r="U68" s="22"/>
    </row>
    <row r="69" spans="1:21" ht="12.75">
      <c r="A69" s="25"/>
      <c r="B69" s="23" t="s">
        <v>32</v>
      </c>
      <c r="C69" s="16"/>
      <c r="D69" s="16"/>
      <c r="E69" s="16"/>
      <c r="F69" s="16"/>
      <c r="G69" s="16"/>
      <c r="H69" s="17"/>
      <c r="I69" s="17"/>
      <c r="J69" s="16"/>
      <c r="K69" s="17"/>
      <c r="L69" s="17"/>
      <c r="M69" s="17"/>
      <c r="N69" s="51"/>
      <c r="O69" s="69"/>
      <c r="P69" s="63"/>
      <c r="Q69" s="86"/>
      <c r="T69" s="22"/>
      <c r="U69" s="22"/>
    </row>
    <row r="70" spans="1:21" ht="12.75">
      <c r="A70" s="25" t="s">
        <v>43</v>
      </c>
      <c r="B70" s="23" t="s">
        <v>44</v>
      </c>
      <c r="C70" s="16"/>
      <c r="D70" s="16"/>
      <c r="E70" s="16"/>
      <c r="F70" s="16"/>
      <c r="G70" s="16"/>
      <c r="H70" s="17"/>
      <c r="I70" s="17"/>
      <c r="J70" s="16"/>
      <c r="K70" s="17"/>
      <c r="L70" s="17"/>
      <c r="M70" s="17"/>
      <c r="N70" s="51"/>
      <c r="O70" s="69"/>
      <c r="P70" s="63"/>
      <c r="Q70" s="86"/>
      <c r="T70" s="22"/>
      <c r="U70" s="22"/>
    </row>
    <row r="71" spans="1:21" ht="25.5">
      <c r="A71" s="25"/>
      <c r="B71" s="23" t="s">
        <v>34</v>
      </c>
      <c r="C71" s="16"/>
      <c r="D71" s="16"/>
      <c r="E71" s="16"/>
      <c r="F71" s="16"/>
      <c r="G71" s="16"/>
      <c r="H71" s="17"/>
      <c r="I71" s="17"/>
      <c r="J71" s="16"/>
      <c r="K71" s="17"/>
      <c r="L71" s="17"/>
      <c r="M71" s="17"/>
      <c r="N71" s="51"/>
      <c r="O71" s="69"/>
      <c r="P71" s="63"/>
      <c r="Q71" s="86"/>
      <c r="T71" s="22"/>
      <c r="U71" s="22"/>
    </row>
    <row r="72" spans="1:21" ht="12.75">
      <c r="A72" s="25"/>
      <c r="B72" s="23" t="s">
        <v>35</v>
      </c>
      <c r="C72" s="16"/>
      <c r="D72" s="16"/>
      <c r="E72" s="16"/>
      <c r="F72" s="16"/>
      <c r="G72" s="16"/>
      <c r="H72" s="17"/>
      <c r="I72" s="17"/>
      <c r="J72" s="16"/>
      <c r="K72" s="17"/>
      <c r="L72" s="17"/>
      <c r="M72" s="17"/>
      <c r="N72" s="51"/>
      <c r="O72" s="69"/>
      <c r="P72" s="63"/>
      <c r="Q72" s="86"/>
      <c r="T72" s="22"/>
      <c r="U72" s="22"/>
    </row>
    <row r="73" spans="1:21" ht="25.5">
      <c r="A73" s="25" t="s">
        <v>45</v>
      </c>
      <c r="B73" s="23" t="s">
        <v>46</v>
      </c>
      <c r="C73" s="16"/>
      <c r="D73" s="16"/>
      <c r="E73" s="16"/>
      <c r="F73" s="16"/>
      <c r="G73" s="16"/>
      <c r="H73" s="17"/>
      <c r="I73" s="17">
        <f>I74*I75</f>
        <v>161.532794</v>
      </c>
      <c r="J73" s="16"/>
      <c r="K73" s="17"/>
      <c r="L73" s="17">
        <v>167.2</v>
      </c>
      <c r="M73" s="17"/>
      <c r="N73" s="51">
        <f>N74*N75</f>
        <v>221.70331260000003</v>
      </c>
      <c r="O73" s="69"/>
      <c r="P73" s="63"/>
      <c r="Q73" s="86"/>
      <c r="T73" s="22"/>
      <c r="U73" s="22"/>
    </row>
    <row r="74" spans="1:21" ht="12.75">
      <c r="A74" s="25"/>
      <c r="B74" s="23" t="s">
        <v>31</v>
      </c>
      <c r="C74" s="16"/>
      <c r="D74" s="16"/>
      <c r="E74" s="16"/>
      <c r="F74" s="16"/>
      <c r="G74" s="16"/>
      <c r="H74" s="17"/>
      <c r="I74" s="18">
        <v>2.32924</v>
      </c>
      <c r="J74" s="16"/>
      <c r="K74" s="17"/>
      <c r="L74" s="17">
        <v>2.3629</v>
      </c>
      <c r="M74" s="17"/>
      <c r="N74" s="47">
        <v>2.954</v>
      </c>
      <c r="O74" s="69"/>
      <c r="P74" s="63"/>
      <c r="Q74" s="87"/>
      <c r="T74" s="22"/>
      <c r="U74" s="22"/>
    </row>
    <row r="75" spans="1:21" ht="12.75">
      <c r="A75" s="25"/>
      <c r="B75" s="23" t="s">
        <v>32</v>
      </c>
      <c r="C75" s="16"/>
      <c r="D75" s="16"/>
      <c r="E75" s="16"/>
      <c r="F75" s="16"/>
      <c r="G75" s="16"/>
      <c r="H75" s="17"/>
      <c r="I75" s="17">
        <f>I79-I57-I63</f>
        <v>69.35</v>
      </c>
      <c r="J75" s="16"/>
      <c r="K75" s="17"/>
      <c r="L75" s="17">
        <v>70.76</v>
      </c>
      <c r="M75" s="17"/>
      <c r="N75" s="51">
        <f>N79-N57-N63</f>
        <v>75.0519</v>
      </c>
      <c r="O75" s="69"/>
      <c r="P75" s="63"/>
      <c r="Q75" s="86"/>
      <c r="T75" s="22"/>
      <c r="U75" s="22"/>
    </row>
    <row r="76" spans="1:21" ht="25.5">
      <c r="A76" s="25" t="s">
        <v>47</v>
      </c>
      <c r="B76" s="23" t="s">
        <v>48</v>
      </c>
      <c r="C76" s="16"/>
      <c r="D76" s="16"/>
      <c r="E76" s="16"/>
      <c r="F76" s="16"/>
      <c r="G76" s="16"/>
      <c r="H76" s="17"/>
      <c r="I76" s="17"/>
      <c r="J76" s="16"/>
      <c r="K76" s="17"/>
      <c r="L76" s="17"/>
      <c r="M76" s="17"/>
      <c r="N76" s="51"/>
      <c r="O76" s="69"/>
      <c r="P76" s="63"/>
      <c r="Q76" s="86"/>
      <c r="T76" s="22"/>
      <c r="U76" s="22"/>
    </row>
    <row r="77" spans="1:21" ht="12.75">
      <c r="A77" s="25"/>
      <c r="B77" s="23" t="s">
        <v>49</v>
      </c>
      <c r="C77" s="16"/>
      <c r="D77" s="16"/>
      <c r="E77" s="16"/>
      <c r="F77" s="16"/>
      <c r="G77" s="16"/>
      <c r="H77" s="17"/>
      <c r="I77" s="17"/>
      <c r="J77" s="16"/>
      <c r="K77" s="17"/>
      <c r="L77" s="17"/>
      <c r="M77" s="17"/>
      <c r="N77" s="51"/>
      <c r="O77" s="69"/>
      <c r="P77" s="63"/>
      <c r="Q77" s="86"/>
      <c r="T77" s="22"/>
      <c r="U77" s="22"/>
    </row>
    <row r="78" spans="1:21" ht="12.75">
      <c r="A78" s="25"/>
      <c r="B78" s="23" t="s">
        <v>35</v>
      </c>
      <c r="C78" s="16"/>
      <c r="D78" s="16"/>
      <c r="E78" s="16"/>
      <c r="F78" s="16"/>
      <c r="G78" s="16"/>
      <c r="H78" s="17"/>
      <c r="I78" s="17"/>
      <c r="J78" s="16"/>
      <c r="K78" s="17"/>
      <c r="L78" s="17"/>
      <c r="M78" s="17"/>
      <c r="N78" s="51"/>
      <c r="O78" s="69"/>
      <c r="P78" s="63"/>
      <c r="Q78" s="86"/>
      <c r="T78" s="22"/>
      <c r="U78" s="22"/>
    </row>
    <row r="79" spans="1:17" ht="12.75">
      <c r="A79" s="30"/>
      <c r="B79" s="23" t="s">
        <v>50</v>
      </c>
      <c r="C79" s="16"/>
      <c r="D79" s="34">
        <f>D81*D10</f>
        <v>183.876</v>
      </c>
      <c r="E79" s="16"/>
      <c r="F79" s="16">
        <f>F81*F10</f>
        <v>0</v>
      </c>
      <c r="G79" s="16">
        <v>193.244</v>
      </c>
      <c r="H79" s="17">
        <f>H81*H10</f>
        <v>173.49920699999998</v>
      </c>
      <c r="I79" s="19">
        <v>191.75</v>
      </c>
      <c r="J79" s="16"/>
      <c r="K79" s="17">
        <f>K81*K10</f>
        <v>148.31208</v>
      </c>
      <c r="L79" s="17">
        <v>161.3</v>
      </c>
      <c r="M79" s="17"/>
      <c r="N79" s="51">
        <f>N81*N10</f>
        <v>146.4519</v>
      </c>
      <c r="O79" s="63">
        <v>149.248</v>
      </c>
      <c r="P79" s="64"/>
      <c r="Q79" s="86">
        <f>Q81*Q10</f>
        <v>138.86922</v>
      </c>
    </row>
    <row r="80" spans="1:17" ht="12.75">
      <c r="A80" s="30"/>
      <c r="B80" s="23" t="s">
        <v>51</v>
      </c>
      <c r="C80" s="16"/>
      <c r="D80" s="16">
        <v>1.54</v>
      </c>
      <c r="E80" s="16"/>
      <c r="F80" s="16">
        <v>1.175</v>
      </c>
      <c r="G80" s="18">
        <f>G54/G79</f>
        <v>1.5244975264432532</v>
      </c>
      <c r="H80" s="18">
        <f>D80*F80</f>
        <v>1.8095</v>
      </c>
      <c r="I80" s="18">
        <f>I54/I79</f>
        <v>1.9464761095176013</v>
      </c>
      <c r="J80" s="16">
        <v>1.26</v>
      </c>
      <c r="K80" s="18">
        <f>H80*J80</f>
        <v>2.27997</v>
      </c>
      <c r="L80" s="18">
        <v>2.19</v>
      </c>
      <c r="M80" s="18"/>
      <c r="N80" s="53">
        <f>N54/N79</f>
        <v>2.6445079415152692</v>
      </c>
      <c r="O80" s="68">
        <v>3.7334</v>
      </c>
      <c r="P80" s="64"/>
      <c r="Q80" s="89">
        <v>3.7334</v>
      </c>
    </row>
    <row r="81" spans="1:17" ht="12.75" customHeight="1">
      <c r="A81" s="30"/>
      <c r="B81" s="23" t="s">
        <v>52</v>
      </c>
      <c r="C81" s="16"/>
      <c r="D81" s="16">
        <v>0.42</v>
      </c>
      <c r="E81" s="16"/>
      <c r="F81" s="16"/>
      <c r="G81" s="18">
        <f>G79/G10</f>
        <v>0.5201722745625841</v>
      </c>
      <c r="H81" s="18">
        <v>0.42</v>
      </c>
      <c r="I81" s="18">
        <f>I79/I10</f>
        <v>0.555734279313353</v>
      </c>
      <c r="J81" s="16"/>
      <c r="K81" s="16">
        <v>0.42</v>
      </c>
      <c r="L81" s="16">
        <v>0.49</v>
      </c>
      <c r="M81" s="16"/>
      <c r="N81" s="52">
        <v>0.42</v>
      </c>
      <c r="O81" s="63">
        <v>0.45</v>
      </c>
      <c r="P81" s="64"/>
      <c r="Q81" s="88">
        <v>0.42</v>
      </c>
    </row>
    <row r="82" spans="1:22" ht="12.75">
      <c r="A82" s="30">
        <v>39114</v>
      </c>
      <c r="B82" s="23" t="s">
        <v>62</v>
      </c>
      <c r="C82" s="16">
        <v>25.6</v>
      </c>
      <c r="D82" s="17">
        <v>34</v>
      </c>
      <c r="E82" s="17">
        <v>34</v>
      </c>
      <c r="F82" s="16"/>
      <c r="G82" s="16">
        <v>4.4</v>
      </c>
      <c r="H82" s="17">
        <f>D82</f>
        <v>34</v>
      </c>
      <c r="I82" s="18">
        <v>14.18</v>
      </c>
      <c r="J82" s="16">
        <v>1.083</v>
      </c>
      <c r="K82" s="17">
        <f>H82*J82</f>
        <v>36.821999999999996</v>
      </c>
      <c r="L82" s="17">
        <v>6.2</v>
      </c>
      <c r="M82" s="17">
        <v>0.9</v>
      </c>
      <c r="N82" s="51">
        <f>K82*M82</f>
        <v>33.139799999999994</v>
      </c>
      <c r="O82" s="63">
        <v>42.5</v>
      </c>
      <c r="P82" s="63"/>
      <c r="Q82" s="86">
        <v>42.5</v>
      </c>
      <c r="T82" s="22"/>
      <c r="U82" s="22"/>
      <c r="V82" s="22"/>
    </row>
    <row r="83" spans="1:17" ht="12.75">
      <c r="A83" s="30">
        <v>39142</v>
      </c>
      <c r="B83" s="23" t="s">
        <v>53</v>
      </c>
      <c r="C83" s="16"/>
      <c r="D83" s="16"/>
      <c r="E83" s="16"/>
      <c r="F83" s="16"/>
      <c r="G83" s="16"/>
      <c r="H83" s="17"/>
      <c r="I83" s="18">
        <v>6.25</v>
      </c>
      <c r="J83" s="16"/>
      <c r="K83" s="16"/>
      <c r="L83" s="16">
        <v>7.5</v>
      </c>
      <c r="M83" s="16"/>
      <c r="N83" s="51">
        <v>7.5</v>
      </c>
      <c r="O83" s="63">
        <v>7.5</v>
      </c>
      <c r="P83" s="64"/>
      <c r="Q83" s="86">
        <v>7.5</v>
      </c>
    </row>
    <row r="84" spans="1:17" ht="12.75">
      <c r="A84" s="30">
        <v>39173</v>
      </c>
      <c r="B84" s="23" t="s">
        <v>54</v>
      </c>
      <c r="C84" s="17">
        <v>234</v>
      </c>
      <c r="D84" s="16">
        <v>19.1</v>
      </c>
      <c r="E84" s="16">
        <v>20.5</v>
      </c>
      <c r="F84" s="16">
        <v>1</v>
      </c>
      <c r="G84" s="16">
        <v>200.4</v>
      </c>
      <c r="H84" s="17">
        <f>D84*1.06</f>
        <v>20.246000000000002</v>
      </c>
      <c r="I84" s="17"/>
      <c r="J84" s="16">
        <v>1.083</v>
      </c>
      <c r="K84" s="17">
        <f>H84*J84</f>
        <v>21.926418</v>
      </c>
      <c r="L84" s="17">
        <v>327.5</v>
      </c>
      <c r="M84" s="17">
        <v>0.9</v>
      </c>
      <c r="N84" s="51">
        <f>K84*M84</f>
        <v>19.7337762</v>
      </c>
      <c r="O84" s="63">
        <v>379.3</v>
      </c>
      <c r="P84" s="64"/>
      <c r="Q84" s="86">
        <v>104.519</v>
      </c>
    </row>
    <row r="85" spans="1:17" ht="12.75">
      <c r="A85" s="30"/>
      <c r="B85" s="23" t="s">
        <v>63</v>
      </c>
      <c r="C85" s="16"/>
      <c r="D85" s="16"/>
      <c r="E85" s="16"/>
      <c r="F85" s="16"/>
      <c r="G85" s="16"/>
      <c r="H85" s="17"/>
      <c r="I85" s="17"/>
      <c r="J85" s="16"/>
      <c r="K85" s="16"/>
      <c r="L85" s="16">
        <v>282.4</v>
      </c>
      <c r="M85" s="16"/>
      <c r="N85" s="51"/>
      <c r="O85" s="63">
        <v>379.3</v>
      </c>
      <c r="P85" s="64"/>
      <c r="Q85" s="86">
        <v>104.519</v>
      </c>
    </row>
    <row r="86" spans="1:17" ht="12.75">
      <c r="A86" s="30"/>
      <c r="B86" s="23" t="s">
        <v>64</v>
      </c>
      <c r="C86" s="16"/>
      <c r="D86" s="16"/>
      <c r="E86" s="16"/>
      <c r="F86" s="16"/>
      <c r="G86" s="16"/>
      <c r="H86" s="17"/>
      <c r="I86" s="17"/>
      <c r="J86" s="16"/>
      <c r="K86" s="16"/>
      <c r="L86" s="16">
        <v>122.3</v>
      </c>
      <c r="M86" s="16"/>
      <c r="N86" s="51"/>
      <c r="O86" s="63"/>
      <c r="P86" s="64"/>
      <c r="Q86" s="86"/>
    </row>
    <row r="87" spans="1:17" ht="12.75">
      <c r="A87" s="30"/>
      <c r="B87" s="23" t="s">
        <v>65</v>
      </c>
      <c r="C87" s="16"/>
      <c r="D87" s="16"/>
      <c r="E87" s="16"/>
      <c r="F87" s="16"/>
      <c r="G87" s="16"/>
      <c r="H87" s="17"/>
      <c r="I87" s="17"/>
      <c r="J87" s="16"/>
      <c r="K87" s="16"/>
      <c r="L87" s="16">
        <v>32</v>
      </c>
      <c r="M87" s="16"/>
      <c r="N87" s="51"/>
      <c r="O87" s="63"/>
      <c r="P87" s="64"/>
      <c r="Q87" s="86"/>
    </row>
    <row r="88" spans="1:17" s="2" customFormat="1" ht="12.75">
      <c r="A88" s="30">
        <v>39203</v>
      </c>
      <c r="B88" s="23" t="s">
        <v>56</v>
      </c>
      <c r="C88" s="18">
        <f>375.3+375.3*0.151+68.92</f>
        <v>500.8903</v>
      </c>
      <c r="D88" s="16">
        <v>815.2</v>
      </c>
      <c r="E88" s="16">
        <v>815.2</v>
      </c>
      <c r="F88" s="16">
        <v>1</v>
      </c>
      <c r="G88" s="16">
        <v>450.6</v>
      </c>
      <c r="H88" s="17">
        <v>849.9</v>
      </c>
      <c r="I88" s="18">
        <v>541.56</v>
      </c>
      <c r="J88" s="16">
        <v>1.132</v>
      </c>
      <c r="K88" s="17">
        <f>H88*J88</f>
        <v>962.0867999999999</v>
      </c>
      <c r="L88" s="17">
        <v>598.2</v>
      </c>
      <c r="M88" s="17">
        <v>1</v>
      </c>
      <c r="N88" s="51">
        <f>K88*M88</f>
        <v>962.0867999999999</v>
      </c>
      <c r="O88" s="63">
        <v>985.2</v>
      </c>
      <c r="P88" s="63">
        <v>1.059</v>
      </c>
      <c r="Q88" s="86">
        <f>N88*P88</f>
        <v>1018.8499211999998</v>
      </c>
    </row>
    <row r="89" spans="1:17" s="2" customFormat="1" ht="12.75">
      <c r="A89" s="30">
        <v>39234</v>
      </c>
      <c r="B89" s="23" t="s">
        <v>58</v>
      </c>
      <c r="C89" s="18">
        <f>C88*0.262</f>
        <v>131.2332586</v>
      </c>
      <c r="D89" s="16">
        <v>213.6</v>
      </c>
      <c r="E89" s="16">
        <v>213.6</v>
      </c>
      <c r="F89" s="16">
        <v>1</v>
      </c>
      <c r="G89" s="16">
        <v>117.6</v>
      </c>
      <c r="H89" s="17">
        <f>H88*0.262</f>
        <v>222.6738</v>
      </c>
      <c r="I89" s="18">
        <v>140.87</v>
      </c>
      <c r="J89" s="16"/>
      <c r="K89" s="17">
        <f>K88*0.262</f>
        <v>252.0667416</v>
      </c>
      <c r="L89" s="17">
        <v>153.9</v>
      </c>
      <c r="M89" s="17">
        <v>1</v>
      </c>
      <c r="N89" s="51">
        <f>K89*M89</f>
        <v>252.0667416</v>
      </c>
      <c r="O89" s="63">
        <v>335</v>
      </c>
      <c r="P89" s="63"/>
      <c r="Q89" s="86">
        <v>348.4</v>
      </c>
    </row>
    <row r="90" spans="1:21" ht="12.75">
      <c r="A90" s="30">
        <v>39264</v>
      </c>
      <c r="B90" s="23" t="s">
        <v>59</v>
      </c>
      <c r="C90" s="18">
        <f>269.4-375.3*0.151</f>
        <v>212.72969999999998</v>
      </c>
      <c r="D90" s="16">
        <v>403.4</v>
      </c>
      <c r="E90" s="35">
        <v>463</v>
      </c>
      <c r="F90" s="16">
        <v>1.06</v>
      </c>
      <c r="G90" s="16">
        <v>260.2</v>
      </c>
      <c r="H90" s="17">
        <f>D90*1.06-34.7</f>
        <v>392.904</v>
      </c>
      <c r="I90" s="18">
        <v>354.18</v>
      </c>
      <c r="J90" s="16"/>
      <c r="K90" s="17">
        <f>(H90-H91-81*0.262)*1.083+K91+91.7*0.262</f>
        <v>430.526006</v>
      </c>
      <c r="L90" s="17">
        <v>304.1</v>
      </c>
      <c r="M90" s="17"/>
      <c r="N90" s="51">
        <f>(K90-K91-K92-100.718*2.28)*0.9+N91+N92+100.718*2.64451</f>
        <v>458.72135798</v>
      </c>
      <c r="O90" s="63">
        <v>559.5</v>
      </c>
      <c r="P90" s="63"/>
      <c r="Q90" s="86">
        <v>561.6</v>
      </c>
      <c r="T90" s="22"/>
      <c r="U90" s="22"/>
    </row>
    <row r="91" spans="1:21" ht="12.75">
      <c r="A91" s="30"/>
      <c r="B91" s="23" t="s">
        <v>66</v>
      </c>
      <c r="C91" s="18"/>
      <c r="D91" s="17">
        <v>60</v>
      </c>
      <c r="E91" s="35"/>
      <c r="F91" s="16"/>
      <c r="G91" s="16"/>
      <c r="H91" s="17">
        <v>81</v>
      </c>
      <c r="I91" s="17">
        <v>113.8</v>
      </c>
      <c r="J91" s="16">
        <v>1.132</v>
      </c>
      <c r="K91" s="17">
        <f>H91*J91</f>
        <v>91.692</v>
      </c>
      <c r="L91" s="17">
        <v>74.7</v>
      </c>
      <c r="M91" s="17">
        <v>1</v>
      </c>
      <c r="N91" s="51">
        <f>K91*M91</f>
        <v>91.692</v>
      </c>
      <c r="O91" s="63">
        <v>93.9</v>
      </c>
      <c r="P91" s="63">
        <v>1.059</v>
      </c>
      <c r="Q91" s="86">
        <v>97.1</v>
      </c>
      <c r="T91" s="22"/>
      <c r="U91" s="22"/>
    </row>
    <row r="92" spans="1:21" ht="12.75">
      <c r="A92" s="30"/>
      <c r="B92" s="23" t="s">
        <v>67</v>
      </c>
      <c r="C92" s="18"/>
      <c r="D92" s="17"/>
      <c r="E92" s="35"/>
      <c r="F92" s="16"/>
      <c r="G92" s="16"/>
      <c r="H92" s="17"/>
      <c r="I92" s="17"/>
      <c r="J92" s="16"/>
      <c r="K92" s="17">
        <f>K91*0.262</f>
        <v>24.023304</v>
      </c>
      <c r="L92" s="17">
        <v>19.6</v>
      </c>
      <c r="M92" s="17">
        <v>1</v>
      </c>
      <c r="N92" s="51">
        <f>K92*M92</f>
        <v>24.023304</v>
      </c>
      <c r="O92" s="63">
        <v>31.9</v>
      </c>
      <c r="P92" s="63"/>
      <c r="Q92" s="86">
        <v>33.2</v>
      </c>
      <c r="T92" s="22"/>
      <c r="U92" s="22"/>
    </row>
    <row r="93" spans="1:21" ht="12.75">
      <c r="A93" s="30"/>
      <c r="B93" s="77" t="s">
        <v>109</v>
      </c>
      <c r="C93" s="18"/>
      <c r="D93" s="17"/>
      <c r="E93" s="35"/>
      <c r="F93" s="16"/>
      <c r="G93" s="16"/>
      <c r="H93" s="17"/>
      <c r="I93" s="17"/>
      <c r="J93" s="16"/>
      <c r="K93" s="17"/>
      <c r="L93" s="17">
        <v>188.3</v>
      </c>
      <c r="M93" s="17"/>
      <c r="N93" s="51">
        <v>199.2</v>
      </c>
      <c r="O93" s="63">
        <v>410.3</v>
      </c>
      <c r="P93" s="63"/>
      <c r="Q93" s="86">
        <v>410.3</v>
      </c>
      <c r="T93" s="22"/>
      <c r="U93" s="22"/>
    </row>
    <row r="94" spans="1:17" s="22" customFormat="1" ht="12.75" customHeight="1">
      <c r="A94" s="24" t="s">
        <v>24</v>
      </c>
      <c r="B94" s="20" t="s">
        <v>68</v>
      </c>
      <c r="C94" s="11">
        <f>C95+C99+C100+C104+C105+C106</f>
        <v>459.6330568</v>
      </c>
      <c r="D94" s="10">
        <f>D95+D99+D100+D104+D105+D106</f>
        <v>746.5</v>
      </c>
      <c r="E94" s="10">
        <f>E95+E99+E100+E104+E105+E106</f>
        <v>787</v>
      </c>
      <c r="F94" s="10"/>
      <c r="G94" s="10">
        <f>G95+G99+G100+G104+G105+G106</f>
        <v>360.2</v>
      </c>
      <c r="H94" s="11">
        <f>H95+H99+H100+H104+H105+H106</f>
        <v>876.3379</v>
      </c>
      <c r="I94" s="12">
        <f>I95+I99+I100+I104+I105+I106</f>
        <v>469.79</v>
      </c>
      <c r="J94" s="10"/>
      <c r="K94" s="12">
        <f>K95+K99+K100+K104+K105+K106</f>
        <v>963.1102946099999</v>
      </c>
      <c r="L94" s="12">
        <v>453.7</v>
      </c>
      <c r="M94" s="12"/>
      <c r="N94" s="54">
        <f>N95+N99+N100+N104+N105+N106</f>
        <v>899.28953781</v>
      </c>
      <c r="O94" s="65">
        <v>1086.9</v>
      </c>
      <c r="P94" s="62"/>
      <c r="Q94" s="90">
        <f>Q95+Q99+Q100+Q104+Q105+Q106</f>
        <v>1080.8402436449999</v>
      </c>
    </row>
    <row r="95" spans="1:20" ht="12.75">
      <c r="A95" s="30">
        <v>39085</v>
      </c>
      <c r="B95" s="23" t="s">
        <v>69</v>
      </c>
      <c r="C95" s="18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46"/>
      <c r="O95" s="63"/>
      <c r="P95" s="64"/>
      <c r="Q95" s="91"/>
      <c r="R95" s="22"/>
      <c r="S95" s="22"/>
      <c r="T95" s="22"/>
    </row>
    <row r="96" spans="1:17" ht="12.75">
      <c r="A96" s="30"/>
      <c r="B96" s="23" t="s">
        <v>50</v>
      </c>
      <c r="C96" s="18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46"/>
      <c r="O96" s="63"/>
      <c r="P96" s="64"/>
      <c r="Q96" s="91"/>
    </row>
    <row r="97" spans="1:17" ht="12.75">
      <c r="A97" s="30"/>
      <c r="B97" s="23" t="s">
        <v>51</v>
      </c>
      <c r="C97" s="18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46"/>
      <c r="O97" s="63"/>
      <c r="P97" s="64"/>
      <c r="Q97" s="91"/>
    </row>
    <row r="98" spans="1:17" ht="12.75" customHeight="1">
      <c r="A98" s="30"/>
      <c r="B98" s="23" t="s">
        <v>52</v>
      </c>
      <c r="C98" s="18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46"/>
      <c r="O98" s="63"/>
      <c r="P98" s="64"/>
      <c r="Q98" s="91"/>
    </row>
    <row r="99" spans="1:17" ht="12.75">
      <c r="A99" s="30">
        <v>39116</v>
      </c>
      <c r="B99" s="23" t="s">
        <v>53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46"/>
      <c r="O99" s="63"/>
      <c r="P99" s="64"/>
      <c r="Q99" s="91"/>
    </row>
    <row r="100" spans="1:19" ht="12.75">
      <c r="A100" s="30">
        <v>39144</v>
      </c>
      <c r="B100" s="23" t="s">
        <v>54</v>
      </c>
      <c r="C100" s="16">
        <v>179.6</v>
      </c>
      <c r="D100" s="16">
        <v>539.5</v>
      </c>
      <c r="E100" s="16">
        <v>580</v>
      </c>
      <c r="F100" s="16">
        <v>1</v>
      </c>
      <c r="G100" s="16">
        <v>210.5</v>
      </c>
      <c r="H100" s="17">
        <f>D100*1.06</f>
        <v>571.87</v>
      </c>
      <c r="I100" s="18">
        <v>285.13</v>
      </c>
      <c r="J100" s="16">
        <v>1.083</v>
      </c>
      <c r="K100" s="17">
        <f>H100*J100</f>
        <v>619.33521</v>
      </c>
      <c r="L100" s="17">
        <v>272.6</v>
      </c>
      <c r="M100" s="17">
        <v>0.9</v>
      </c>
      <c r="N100" s="51">
        <f>K100*M100</f>
        <v>557.401689</v>
      </c>
      <c r="O100" s="69">
        <v>715</v>
      </c>
      <c r="P100" s="63"/>
      <c r="Q100" s="86">
        <v>696.5</v>
      </c>
      <c r="S100" s="22"/>
    </row>
    <row r="101" spans="1:17" ht="12.75">
      <c r="A101" s="30"/>
      <c r="B101" s="23" t="s">
        <v>70</v>
      </c>
      <c r="C101" s="16"/>
      <c r="D101" s="16"/>
      <c r="E101" s="16"/>
      <c r="F101" s="16"/>
      <c r="G101" s="16"/>
      <c r="H101" s="17"/>
      <c r="I101" s="17"/>
      <c r="J101" s="16"/>
      <c r="K101" s="16"/>
      <c r="L101" s="16"/>
      <c r="M101" s="16"/>
      <c r="N101" s="51"/>
      <c r="O101" s="63"/>
      <c r="P101" s="64"/>
      <c r="Q101" s="86"/>
    </row>
    <row r="102" spans="1:17" ht="12.75">
      <c r="A102" s="30"/>
      <c r="B102" s="23" t="s">
        <v>71</v>
      </c>
      <c r="C102" s="16"/>
      <c r="D102" s="16"/>
      <c r="E102" s="16"/>
      <c r="F102" s="16"/>
      <c r="G102" s="16"/>
      <c r="H102" s="17"/>
      <c r="I102" s="17"/>
      <c r="J102" s="16"/>
      <c r="K102" s="16"/>
      <c r="L102" s="16"/>
      <c r="M102" s="16"/>
      <c r="N102" s="51"/>
      <c r="O102" s="63"/>
      <c r="P102" s="64"/>
      <c r="Q102" s="86"/>
    </row>
    <row r="103" spans="1:17" ht="12.75">
      <c r="A103" s="30"/>
      <c r="B103" s="23" t="s">
        <v>72</v>
      </c>
      <c r="C103" s="16"/>
      <c r="D103" s="16"/>
      <c r="E103" s="16"/>
      <c r="F103" s="16"/>
      <c r="G103" s="16"/>
      <c r="H103" s="17"/>
      <c r="I103" s="17"/>
      <c r="J103" s="16"/>
      <c r="K103" s="16"/>
      <c r="L103" s="16"/>
      <c r="M103" s="16"/>
      <c r="N103" s="51"/>
      <c r="O103" s="63"/>
      <c r="P103" s="64"/>
      <c r="Q103" s="86"/>
    </row>
    <row r="104" spans="1:17" s="2" customFormat="1" ht="12.75">
      <c r="A104" s="30">
        <v>39175</v>
      </c>
      <c r="B104" s="23" t="s">
        <v>56</v>
      </c>
      <c r="C104" s="18">
        <f>136.4+136.4*0.151</f>
        <v>156.9964</v>
      </c>
      <c r="D104" s="16">
        <v>146.5</v>
      </c>
      <c r="E104" s="16">
        <v>146.5</v>
      </c>
      <c r="F104" s="16">
        <v>1</v>
      </c>
      <c r="G104" s="16">
        <v>106.6</v>
      </c>
      <c r="H104" s="17">
        <v>227.45</v>
      </c>
      <c r="I104" s="18">
        <v>133.37</v>
      </c>
      <c r="J104" s="19">
        <v>1.1319</v>
      </c>
      <c r="K104" s="17">
        <f>H104*J104</f>
        <v>257.450655</v>
      </c>
      <c r="L104" s="17">
        <v>130</v>
      </c>
      <c r="M104" s="17">
        <v>1</v>
      </c>
      <c r="N104" s="51">
        <f>K104*M104</f>
        <v>257.450655</v>
      </c>
      <c r="O104" s="63">
        <v>263.7</v>
      </c>
      <c r="P104" s="63">
        <v>1.059</v>
      </c>
      <c r="Q104" s="86">
        <f>N104*P104</f>
        <v>272.64024364499994</v>
      </c>
    </row>
    <row r="105" spans="1:17" s="2" customFormat="1" ht="12.75">
      <c r="A105" s="30">
        <v>39205</v>
      </c>
      <c r="B105" s="23" t="s">
        <v>58</v>
      </c>
      <c r="C105" s="18">
        <f>C104*0.262</f>
        <v>41.1330568</v>
      </c>
      <c r="D105" s="16">
        <v>38.4</v>
      </c>
      <c r="E105" s="16">
        <v>38.4</v>
      </c>
      <c r="F105" s="16"/>
      <c r="G105" s="16">
        <v>27.9</v>
      </c>
      <c r="H105" s="17">
        <f>H104*0.262</f>
        <v>59.5919</v>
      </c>
      <c r="I105" s="18">
        <v>34.79</v>
      </c>
      <c r="J105" s="16"/>
      <c r="K105" s="17">
        <f>K104*0.262</f>
        <v>67.45207161</v>
      </c>
      <c r="L105" s="17">
        <v>34.1</v>
      </c>
      <c r="M105" s="17">
        <v>1</v>
      </c>
      <c r="N105" s="51">
        <f>K105*M105</f>
        <v>67.45207161</v>
      </c>
      <c r="O105" s="63">
        <v>89.7</v>
      </c>
      <c r="P105" s="63"/>
      <c r="Q105" s="86">
        <v>93.2</v>
      </c>
    </row>
    <row r="106" spans="1:21" ht="12.75">
      <c r="A106" s="30">
        <v>39236</v>
      </c>
      <c r="B106" s="23" t="s">
        <v>59</v>
      </c>
      <c r="C106" s="18">
        <f>102.5-136.4*0.151</f>
        <v>81.9036</v>
      </c>
      <c r="D106" s="16">
        <v>22.1</v>
      </c>
      <c r="E106" s="16">
        <v>22.1</v>
      </c>
      <c r="F106" s="16">
        <v>1</v>
      </c>
      <c r="G106" s="16">
        <v>15.2</v>
      </c>
      <c r="H106" s="17">
        <f>22.1*1.06-6</f>
        <v>17.426000000000002</v>
      </c>
      <c r="I106" s="17">
        <v>16.5</v>
      </c>
      <c r="J106" s="16">
        <v>1.083</v>
      </c>
      <c r="K106" s="17">
        <f>H106*J106</f>
        <v>18.872358000000002</v>
      </c>
      <c r="L106" s="17">
        <v>17</v>
      </c>
      <c r="M106" s="17">
        <v>0.9</v>
      </c>
      <c r="N106" s="51">
        <f>K106*M106</f>
        <v>16.985122200000003</v>
      </c>
      <c r="O106" s="63">
        <v>18.5</v>
      </c>
      <c r="P106" s="63"/>
      <c r="Q106" s="86">
        <v>18.5</v>
      </c>
      <c r="T106" s="22"/>
      <c r="U106" s="22"/>
    </row>
    <row r="107" spans="1:17" s="22" customFormat="1" ht="12.75">
      <c r="A107" s="24" t="s">
        <v>73</v>
      </c>
      <c r="B107" s="20" t="s">
        <v>74</v>
      </c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55"/>
      <c r="O107" s="61"/>
      <c r="P107" s="62"/>
      <c r="Q107" s="92"/>
    </row>
    <row r="108" spans="1:17" s="22" customFormat="1" ht="12.75">
      <c r="A108" s="24" t="s">
        <v>75</v>
      </c>
      <c r="B108" s="20" t="s">
        <v>76</v>
      </c>
      <c r="C108" s="12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55"/>
      <c r="O108" s="61"/>
      <c r="P108" s="62"/>
      <c r="Q108" s="92"/>
    </row>
    <row r="109" spans="1:17" s="22" customFormat="1" ht="13.5" customHeight="1">
      <c r="A109" s="24" t="s">
        <v>77</v>
      </c>
      <c r="B109" s="20" t="s">
        <v>78</v>
      </c>
      <c r="C109" s="11">
        <v>482.3</v>
      </c>
      <c r="D109" s="10">
        <v>617.6</v>
      </c>
      <c r="E109" s="10">
        <v>542.9</v>
      </c>
      <c r="F109" s="10"/>
      <c r="G109" s="11">
        <v>474</v>
      </c>
      <c r="H109" s="11">
        <f>H110*H12</f>
        <v>557.3264035926</v>
      </c>
      <c r="I109" s="12">
        <v>456.84</v>
      </c>
      <c r="J109" s="10"/>
      <c r="K109" s="11">
        <f>K110*K12</f>
        <v>537.6992799999997</v>
      </c>
      <c r="L109" s="11">
        <v>501.8</v>
      </c>
      <c r="M109" s="11"/>
      <c r="N109" s="48">
        <f>N110*N12</f>
        <v>603.1505999999999</v>
      </c>
      <c r="O109" s="65">
        <v>648.1</v>
      </c>
      <c r="P109" s="62"/>
      <c r="Q109" s="83">
        <f>Q110*Q12</f>
        <v>732.6119199999999</v>
      </c>
    </row>
    <row r="110" spans="1:17" s="22" customFormat="1" ht="13.5" customHeight="1">
      <c r="A110" s="24"/>
      <c r="B110" s="36" t="s">
        <v>79</v>
      </c>
      <c r="C110" s="11"/>
      <c r="D110" s="10"/>
      <c r="E110" s="10"/>
      <c r="F110" s="10">
        <v>1.103</v>
      </c>
      <c r="G110" s="10"/>
      <c r="H110" s="28">
        <f>4.57*F110</f>
        <v>5.04071</v>
      </c>
      <c r="I110" s="28">
        <v>4.97</v>
      </c>
      <c r="J110" s="26">
        <v>5.71</v>
      </c>
      <c r="K110" s="28">
        <v>5.71</v>
      </c>
      <c r="L110" s="28"/>
      <c r="M110" s="27"/>
      <c r="N110" s="56">
        <v>6.36</v>
      </c>
      <c r="O110" s="78">
        <v>7.44</v>
      </c>
      <c r="P110" s="62"/>
      <c r="Q110" s="93">
        <v>8.41</v>
      </c>
    </row>
    <row r="111" spans="1:17" s="22" customFormat="1" ht="13.5" customHeight="1">
      <c r="A111" s="24" t="s">
        <v>80</v>
      </c>
      <c r="B111" s="20" t="s">
        <v>81</v>
      </c>
      <c r="C111" s="11">
        <f>483.6-1017.57*0.434+326.4</f>
        <v>368.37462</v>
      </c>
      <c r="D111" s="10">
        <v>471</v>
      </c>
      <c r="E111" s="10">
        <v>506.3</v>
      </c>
      <c r="F111" s="10">
        <v>1.06</v>
      </c>
      <c r="G111" s="10">
        <v>595.2</v>
      </c>
      <c r="H111" s="11">
        <f>D111*1.06-74.9-15.8</f>
        <v>408.56</v>
      </c>
      <c r="I111" s="12">
        <v>669.55</v>
      </c>
      <c r="J111" s="10"/>
      <c r="K111" s="11">
        <f>(H111-H112-115*0.262)*1.083+K112+130.2*0.262</f>
        <v>449.58709</v>
      </c>
      <c r="L111" s="11">
        <v>688.6</v>
      </c>
      <c r="M111" s="11"/>
      <c r="N111" s="48">
        <f>(K111-K112-K113)*0.9+N112+N113</f>
        <v>421.057097</v>
      </c>
      <c r="O111" s="61">
        <v>442.8</v>
      </c>
      <c r="P111" s="62"/>
      <c r="Q111" s="83">
        <v>481.3</v>
      </c>
    </row>
    <row r="112" spans="1:17" s="22" customFormat="1" ht="13.5" customHeight="1">
      <c r="A112" s="24"/>
      <c r="B112" s="23" t="s">
        <v>66</v>
      </c>
      <c r="C112" s="11"/>
      <c r="D112" s="27">
        <v>90</v>
      </c>
      <c r="E112" s="10"/>
      <c r="F112" s="10"/>
      <c r="G112" s="10"/>
      <c r="H112" s="27">
        <v>115</v>
      </c>
      <c r="I112" s="27">
        <v>317.9</v>
      </c>
      <c r="J112" s="26">
        <v>1.132</v>
      </c>
      <c r="K112" s="26">
        <f>H112*J112</f>
        <v>130.17999999999998</v>
      </c>
      <c r="L112" s="26">
        <v>337.6</v>
      </c>
      <c r="M112" s="27">
        <v>1</v>
      </c>
      <c r="N112" s="50">
        <f>K112*M112</f>
        <v>130.17999999999998</v>
      </c>
      <c r="O112" s="67">
        <v>133.3</v>
      </c>
      <c r="P112" s="82">
        <v>1.059</v>
      </c>
      <c r="Q112" s="85">
        <f>N112*P112</f>
        <v>137.86061999999998</v>
      </c>
    </row>
    <row r="113" spans="1:17" s="22" customFormat="1" ht="13.5" customHeight="1">
      <c r="A113" s="24"/>
      <c r="B113" s="23" t="s">
        <v>82</v>
      </c>
      <c r="C113" s="11"/>
      <c r="D113" s="27"/>
      <c r="E113" s="10"/>
      <c r="F113" s="10"/>
      <c r="G113" s="10"/>
      <c r="H113" s="27"/>
      <c r="I113" s="27"/>
      <c r="J113" s="26"/>
      <c r="K113" s="28">
        <f>K112*0.262</f>
        <v>34.10715999999999</v>
      </c>
      <c r="L113" s="28"/>
      <c r="M113" s="27">
        <v>1</v>
      </c>
      <c r="N113" s="50">
        <f>K113*M113</f>
        <v>34.10715999999999</v>
      </c>
      <c r="O113" s="67">
        <v>45.3</v>
      </c>
      <c r="P113" s="62"/>
      <c r="Q113" s="85">
        <v>47.1</v>
      </c>
    </row>
    <row r="114" spans="1:17" s="22" customFormat="1" ht="12.75" customHeight="1">
      <c r="A114" s="24" t="s">
        <v>83</v>
      </c>
      <c r="B114" s="20" t="s">
        <v>84</v>
      </c>
      <c r="C114" s="10">
        <v>22.1</v>
      </c>
      <c r="D114" s="10">
        <v>11.7</v>
      </c>
      <c r="E114" s="10">
        <v>111.5</v>
      </c>
      <c r="F114" s="10">
        <v>1.06</v>
      </c>
      <c r="G114" s="11">
        <v>88</v>
      </c>
      <c r="H114" s="11">
        <f>D114*F114</f>
        <v>12.402</v>
      </c>
      <c r="I114" s="12">
        <v>30.99</v>
      </c>
      <c r="J114" s="26">
        <v>1.083</v>
      </c>
      <c r="K114" s="11">
        <f>H114*J114</f>
        <v>13.431365999999999</v>
      </c>
      <c r="L114" s="11">
        <v>101.5</v>
      </c>
      <c r="M114" s="27">
        <v>0.9</v>
      </c>
      <c r="N114" s="48">
        <f>K114*M114</f>
        <v>12.0882294</v>
      </c>
      <c r="O114" s="61">
        <v>114.7</v>
      </c>
      <c r="P114" s="62"/>
      <c r="Q114" s="83">
        <v>114.7</v>
      </c>
    </row>
    <row r="115" spans="1:17" s="22" customFormat="1" ht="12.75">
      <c r="A115" s="24" t="s">
        <v>85</v>
      </c>
      <c r="B115" s="20" t="s">
        <v>86</v>
      </c>
      <c r="C115" s="1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55"/>
      <c r="O115" s="61"/>
      <c r="P115" s="62"/>
      <c r="Q115" s="92"/>
    </row>
    <row r="116" spans="1:54" s="22" customFormat="1" ht="12.75">
      <c r="A116" s="24" t="s">
        <v>87</v>
      </c>
      <c r="B116" s="20" t="s">
        <v>88</v>
      </c>
      <c r="C116" s="11">
        <f>C14+C53+C94+C107+C109+C111+C114+C115</f>
        <v>4284.6990604</v>
      </c>
      <c r="D116" s="10">
        <f>D14+D53+D94+D107+D109+D111+D114+D115</f>
        <v>5445.7</v>
      </c>
      <c r="E116" s="10">
        <f>E14+E53+E94+E107+E109+E111+E114+E115</f>
        <v>5863.7</v>
      </c>
      <c r="F116" s="10"/>
      <c r="G116" s="10">
        <f>G14+G53+G94+G107+G109+G111+G114+G115</f>
        <v>4633.599999999999</v>
      </c>
      <c r="H116" s="11">
        <f>H14+H53+H94+H107+H109+H111+H114+H115</f>
        <v>5627.8111137049755</v>
      </c>
      <c r="I116" s="12">
        <f>I14+I53+I94+I107+I109+I111+I114+I115</f>
        <v>5354.946794</v>
      </c>
      <c r="J116" s="10"/>
      <c r="K116" s="11">
        <f>K14+K53+K94+K107+K109+K111+K114+K115</f>
        <v>6022.2875562098</v>
      </c>
      <c r="L116" s="11">
        <v>5604.6</v>
      </c>
      <c r="M116" s="11"/>
      <c r="N116" s="48">
        <f>N14+N53+N94+N107+N109+N111+N114+N115</f>
        <v>6142.6375073736</v>
      </c>
      <c r="O116" s="65">
        <v>7908.9</v>
      </c>
      <c r="P116" s="62"/>
      <c r="Q116" s="83">
        <f>Q14+Q53+Q94+Q107+Q109+Q111+Q114+Q115</f>
        <v>7577.0066628994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</row>
    <row r="117" spans="1:54" ht="12.75">
      <c r="A117" s="30">
        <v>39092</v>
      </c>
      <c r="B117" s="23" t="s">
        <v>89</v>
      </c>
      <c r="C117" s="17">
        <f>C15+C54+C95</f>
        <v>479.20000000000005</v>
      </c>
      <c r="D117" s="16">
        <f>D15+D54+D95</f>
        <v>714</v>
      </c>
      <c r="E117" s="16">
        <f>E15+E54+E95</f>
        <v>836.5999999999999</v>
      </c>
      <c r="F117" s="16"/>
      <c r="G117" s="16">
        <f>G15+G54+G95</f>
        <v>656.3</v>
      </c>
      <c r="H117" s="17">
        <f>H15+H54+H95</f>
        <v>781.881424512375</v>
      </c>
      <c r="I117" s="18">
        <f>I15+I54+I95</f>
        <v>736.7767940000001</v>
      </c>
      <c r="J117" s="16"/>
      <c r="K117" s="17">
        <f>K15+K54+K95</f>
        <v>841.7622135006002</v>
      </c>
      <c r="L117" s="17">
        <v>743.2</v>
      </c>
      <c r="M117" s="17"/>
      <c r="N117" s="51">
        <f>N15+N54+N95</f>
        <v>879.3076314044</v>
      </c>
      <c r="O117" s="69">
        <v>1149.8</v>
      </c>
      <c r="P117" s="64"/>
      <c r="Q117" s="86">
        <f>Q15+Q54+Q95</f>
        <v>1172.313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2.75">
      <c r="A118" s="30"/>
      <c r="B118" s="23" t="s">
        <v>50</v>
      </c>
      <c r="C118" s="16">
        <v>313.2</v>
      </c>
      <c r="D118" s="16">
        <v>404.8</v>
      </c>
      <c r="E118" s="16">
        <v>421.6</v>
      </c>
      <c r="F118" s="16"/>
      <c r="G118" s="16">
        <f>G40+G79</f>
        <v>372.642</v>
      </c>
      <c r="H118" s="17">
        <f>H117/H119</f>
        <v>378.08579521875</v>
      </c>
      <c r="I118" s="19">
        <f>I40+I79</f>
        <v>366.347</v>
      </c>
      <c r="J118" s="16"/>
      <c r="K118" s="17">
        <f>K40+K79</f>
        <v>322.75596</v>
      </c>
      <c r="L118" s="17">
        <v>325.4</v>
      </c>
      <c r="M118" s="17"/>
      <c r="N118" s="51">
        <f>N40+N79</f>
        <v>319.42859999999996</v>
      </c>
      <c r="O118" s="69">
        <v>296.9</v>
      </c>
      <c r="P118" s="63"/>
      <c r="Q118" s="86">
        <f>Q40+Q79</f>
        <v>301.76922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2.75">
      <c r="A119" s="30"/>
      <c r="B119" s="23" t="s">
        <v>51</v>
      </c>
      <c r="C119" s="16">
        <v>1.53</v>
      </c>
      <c r="D119" s="18">
        <v>1.76</v>
      </c>
      <c r="E119" s="18">
        <v>1.98</v>
      </c>
      <c r="F119" s="19">
        <v>1.175</v>
      </c>
      <c r="G119" s="18">
        <f>G117/G118</f>
        <v>1.7612078080302274</v>
      </c>
      <c r="H119" s="18">
        <f>D119*F119</f>
        <v>2.068</v>
      </c>
      <c r="I119" s="18">
        <f>I117/I118</f>
        <v>2.011144608799854</v>
      </c>
      <c r="J119" s="18">
        <v>1.26</v>
      </c>
      <c r="K119" s="18">
        <f>H119*J119</f>
        <v>2.60568</v>
      </c>
      <c r="L119" s="18">
        <v>2.28</v>
      </c>
      <c r="M119" s="18"/>
      <c r="N119" s="52">
        <f>N117/N118</f>
        <v>2.7527517304474305</v>
      </c>
      <c r="O119" s="68">
        <v>3.8725</v>
      </c>
      <c r="P119" s="71"/>
      <c r="Q119" s="89">
        <v>3.8843</v>
      </c>
      <c r="R119" s="22"/>
      <c r="S119" s="2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2.75" customHeight="1">
      <c r="A120" s="30"/>
      <c r="B120" s="23" t="s">
        <v>52</v>
      </c>
      <c r="C120" s="18">
        <f>C118/C4</f>
        <v>0.633495145631068</v>
      </c>
      <c r="D120" s="18">
        <f>D118/D4</f>
        <v>0.715573625596606</v>
      </c>
      <c r="E120" s="18">
        <f>E118/E4</f>
        <v>0.8051948051948052</v>
      </c>
      <c r="F120" s="18"/>
      <c r="G120" s="18">
        <f>G118/G4</f>
        <v>0.7841479402128282</v>
      </c>
      <c r="H120" s="18">
        <f>H118/H4</f>
        <v>0.7220084467253185</v>
      </c>
      <c r="I120" s="18">
        <f>I118/I4</f>
        <v>0.8532397056083473</v>
      </c>
      <c r="J120" s="18"/>
      <c r="K120" s="18">
        <f>K118/K4</f>
        <v>0.721577761283457</v>
      </c>
      <c r="L120" s="18">
        <v>0.77</v>
      </c>
      <c r="M120" s="18"/>
      <c r="N120" s="52">
        <f>N118/N4</f>
        <v>0.7201961535860032</v>
      </c>
      <c r="O120" s="68">
        <v>0.71</v>
      </c>
      <c r="P120" s="68"/>
      <c r="Q120" s="88">
        <f>Q118/Q4</f>
        <v>0.7223627837502066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17" s="2" customFormat="1" ht="12.75">
      <c r="A121" s="30">
        <v>39123</v>
      </c>
      <c r="B121" s="23" t="s">
        <v>90</v>
      </c>
      <c r="C121" s="17">
        <f>C46+C88+C104</f>
        <v>1017.5742</v>
      </c>
      <c r="D121" s="16">
        <v>1375.5</v>
      </c>
      <c r="E121" s="16">
        <f>E46+E88+E104</f>
        <v>1085.3000000000002</v>
      </c>
      <c r="F121" s="16"/>
      <c r="G121" s="16"/>
      <c r="H121" s="17">
        <f>H46+H88+H104+H91+H112</f>
        <v>1410.2988</v>
      </c>
      <c r="I121" s="18">
        <f>I46+I88+I104+I91+I112</f>
        <v>1514.54</v>
      </c>
      <c r="J121" s="16"/>
      <c r="K121" s="17">
        <f>K46+K88+K104+K91+K112</f>
        <v>1596.4354965999999</v>
      </c>
      <c r="L121" s="17">
        <v>1613.6</v>
      </c>
      <c r="M121" s="17"/>
      <c r="N121" s="51">
        <f>N46+N50+N88+N104+N91+N112</f>
        <v>1648.3354966</v>
      </c>
      <c r="O121" s="69">
        <v>1684.7</v>
      </c>
      <c r="P121" s="63"/>
      <c r="Q121" s="86">
        <f>Q46+Q50+Q88+Q104+Q91+Q112</f>
        <v>1745.6233628993996</v>
      </c>
    </row>
    <row r="122" spans="1:17" ht="12.75">
      <c r="A122" s="30"/>
      <c r="B122" s="23" t="s">
        <v>91</v>
      </c>
      <c r="C122" s="18"/>
      <c r="D122" s="16">
        <v>16</v>
      </c>
      <c r="E122" s="16"/>
      <c r="F122" s="16"/>
      <c r="G122" s="16"/>
      <c r="H122" s="37">
        <v>16</v>
      </c>
      <c r="I122" s="37">
        <v>16</v>
      </c>
      <c r="J122" s="16"/>
      <c r="K122" s="16">
        <v>16</v>
      </c>
      <c r="L122" s="16">
        <v>16</v>
      </c>
      <c r="M122" s="16"/>
      <c r="N122" s="57">
        <v>16</v>
      </c>
      <c r="O122" s="79">
        <v>16</v>
      </c>
      <c r="P122" s="64"/>
      <c r="Q122" s="94">
        <v>16</v>
      </c>
    </row>
    <row r="123" spans="1:17" ht="12.75">
      <c r="A123" s="30"/>
      <c r="B123" s="23" t="s">
        <v>92</v>
      </c>
      <c r="C123" s="18"/>
      <c r="D123" s="18">
        <f>D121/D122/12*1000</f>
        <v>7164.0625</v>
      </c>
      <c r="E123" s="16"/>
      <c r="F123" s="16"/>
      <c r="G123" s="16"/>
      <c r="H123" s="18">
        <f>H121/H122/12*1000</f>
        <v>7345.306250000001</v>
      </c>
      <c r="I123" s="18">
        <f>I121/I122*1000/12</f>
        <v>7888.229166666667</v>
      </c>
      <c r="J123" s="16"/>
      <c r="K123" s="18">
        <f>K121/K122*1000/12</f>
        <v>8314.768211458333</v>
      </c>
      <c r="L123" s="18">
        <v>8404.17</v>
      </c>
      <c r="M123" s="18"/>
      <c r="N123" s="52">
        <f>N121/N122*1000/12</f>
        <v>8585.080711458333</v>
      </c>
      <c r="O123" s="79">
        <v>8774.48</v>
      </c>
      <c r="P123" s="64"/>
      <c r="Q123" s="88">
        <v>9091.6</v>
      </c>
    </row>
    <row r="124" spans="1:17" ht="12.75" customHeight="1">
      <c r="A124" s="24" t="s">
        <v>93</v>
      </c>
      <c r="B124" s="20" t="s">
        <v>94</v>
      </c>
      <c r="C124" s="12">
        <f>C116/C4</f>
        <v>8.666462500809063</v>
      </c>
      <c r="D124" s="12">
        <f>D116/D4</f>
        <v>9.62648046667845</v>
      </c>
      <c r="E124" s="12">
        <f>E116/E4</f>
        <v>11.19881588999236</v>
      </c>
      <c r="F124" s="12"/>
      <c r="G124" s="12">
        <f>G116/G4</f>
        <v>9.750451896914894</v>
      </c>
      <c r="H124" s="12">
        <f>H116/H4</f>
        <v>10.747103467134187</v>
      </c>
      <c r="I124" s="12">
        <f>I116/I4</f>
        <v>12.471927506055525</v>
      </c>
      <c r="J124" s="12"/>
      <c r="K124" s="12">
        <f>K116/K4</f>
        <v>13.463883897341782</v>
      </c>
      <c r="L124" s="12">
        <v>13.35</v>
      </c>
      <c r="M124" s="12"/>
      <c r="N124" s="54">
        <f>N116/N4</f>
        <v>13.849429592978153</v>
      </c>
      <c r="O124" s="70">
        <v>18.93</v>
      </c>
      <c r="P124" s="72"/>
      <c r="Q124" s="90">
        <f>Q116/Q4</f>
        <v>18.137527828404345</v>
      </c>
    </row>
    <row r="125" spans="1:17" ht="12.75">
      <c r="A125" s="24" t="s">
        <v>95</v>
      </c>
      <c r="B125" s="20" t="s">
        <v>96</v>
      </c>
      <c r="C125" s="16">
        <v>576.8</v>
      </c>
      <c r="D125" s="10">
        <v>139.9</v>
      </c>
      <c r="E125" s="16">
        <v>150.4</v>
      </c>
      <c r="F125" s="16">
        <v>1</v>
      </c>
      <c r="G125" s="16"/>
      <c r="H125" s="11">
        <v>124.35</v>
      </c>
      <c r="I125" s="11"/>
      <c r="J125" s="16"/>
      <c r="K125" s="11">
        <f>(H125-H126)*1.083+102.45*0.24/0.76</f>
        <v>134.75028157894735</v>
      </c>
      <c r="L125" s="11"/>
      <c r="M125" s="11"/>
      <c r="N125" s="48">
        <f>N126+N127</f>
        <v>126.12535197368419</v>
      </c>
      <c r="O125" s="80">
        <v>137.1</v>
      </c>
      <c r="P125" s="63"/>
      <c r="Q125" s="83">
        <f>Q126+Q127</f>
        <v>106.85339819210525</v>
      </c>
    </row>
    <row r="126" spans="1:17" ht="12.75">
      <c r="A126" s="24"/>
      <c r="B126" s="23" t="s">
        <v>97</v>
      </c>
      <c r="C126" s="16"/>
      <c r="D126" s="16"/>
      <c r="E126" s="16"/>
      <c r="F126" s="16"/>
      <c r="G126" s="16"/>
      <c r="H126" s="17">
        <v>29.8</v>
      </c>
      <c r="I126" s="17"/>
      <c r="J126" s="16"/>
      <c r="K126" s="16">
        <v>33.85</v>
      </c>
      <c r="L126" s="16"/>
      <c r="M126" s="16"/>
      <c r="N126" s="51">
        <f>N127*0.2/0.8</f>
        <v>25.22507039473684</v>
      </c>
      <c r="O126" s="63">
        <v>27.4</v>
      </c>
      <c r="P126" s="63"/>
      <c r="Q126" s="86"/>
    </row>
    <row r="127" spans="1:17" ht="12.75">
      <c r="A127" s="24"/>
      <c r="B127" s="23" t="s">
        <v>98</v>
      </c>
      <c r="C127" s="16"/>
      <c r="D127" s="16"/>
      <c r="E127" s="16"/>
      <c r="F127" s="16"/>
      <c r="G127" s="16"/>
      <c r="H127" s="17"/>
      <c r="I127" s="17"/>
      <c r="J127" s="16"/>
      <c r="K127" s="17">
        <f>K125-K126</f>
        <v>100.90028157894736</v>
      </c>
      <c r="L127" s="17"/>
      <c r="M127" s="17">
        <v>1</v>
      </c>
      <c r="N127" s="51">
        <f>K127*M127</f>
        <v>100.90028157894736</v>
      </c>
      <c r="O127" s="63">
        <v>109.7</v>
      </c>
      <c r="P127" s="63">
        <v>1.059</v>
      </c>
      <c r="Q127" s="86">
        <f>N127*P127</f>
        <v>106.85339819210525</v>
      </c>
    </row>
    <row r="128" spans="1:17" ht="12.75">
      <c r="A128" s="24" t="s">
        <v>99</v>
      </c>
      <c r="B128" s="20" t="s">
        <v>100</v>
      </c>
      <c r="C128" s="12">
        <f>C116+C125</f>
        <v>4861.4990604</v>
      </c>
      <c r="D128" s="10">
        <f>D116+D125</f>
        <v>5585.599999999999</v>
      </c>
      <c r="E128" s="10">
        <f>E116+E125</f>
        <v>6014.099999999999</v>
      </c>
      <c r="F128" s="10"/>
      <c r="G128" s="10"/>
      <c r="H128" s="11">
        <f>H116+H125</f>
        <v>5752.161113704976</v>
      </c>
      <c r="I128" s="11"/>
      <c r="J128" s="10"/>
      <c r="K128" s="11">
        <f>K116+K125</f>
        <v>6157.037837788747</v>
      </c>
      <c r="L128" s="11"/>
      <c r="M128" s="11"/>
      <c r="N128" s="48">
        <f>N116+N125</f>
        <v>6268.762859347284</v>
      </c>
      <c r="O128" s="81">
        <v>8046</v>
      </c>
      <c r="P128" s="62"/>
      <c r="Q128" s="83">
        <f>Q116+Q125</f>
        <v>7683.8600610915055</v>
      </c>
    </row>
    <row r="129" spans="1:18" ht="12.75" customHeight="1">
      <c r="A129" s="24" t="s">
        <v>101</v>
      </c>
      <c r="B129" s="20" t="s">
        <v>102</v>
      </c>
      <c r="C129" s="12">
        <f>C128/C4</f>
        <v>9.833129167475729</v>
      </c>
      <c r="D129" s="12">
        <f>D128/D4</f>
        <v>9.873784691532613</v>
      </c>
      <c r="E129" s="12">
        <f>E128/E4</f>
        <v>11.486058059587469</v>
      </c>
      <c r="F129" s="12"/>
      <c r="G129" s="12"/>
      <c r="H129" s="12">
        <f>H128/H4</f>
        <v>10.984567427657613</v>
      </c>
      <c r="I129" s="12"/>
      <c r="J129" s="12"/>
      <c r="K129" s="12">
        <f>K128/K4</f>
        <v>13.765141871056821</v>
      </c>
      <c r="L129" s="12"/>
      <c r="M129" s="12"/>
      <c r="N129" s="54">
        <f>N128/N4</f>
        <v>14.133796720283373</v>
      </c>
      <c r="O129" s="70">
        <v>19.26</v>
      </c>
      <c r="P129" s="72"/>
      <c r="Q129" s="90">
        <f>Q128/Q4</f>
        <v>18.39330911110514</v>
      </c>
      <c r="R129" s="22"/>
    </row>
    <row r="130" spans="1:17" ht="12.75">
      <c r="A130" s="30"/>
      <c r="B130" s="23" t="s">
        <v>103</v>
      </c>
      <c r="C130" s="17">
        <f>C125/(C116-C109)*100</f>
        <v>15.169370464217463</v>
      </c>
      <c r="D130" s="17">
        <f>D125/(D116-D109)*100</f>
        <v>2.8976201818520746</v>
      </c>
      <c r="E130" s="17">
        <f>E125/(E116-E109)*100</f>
        <v>2.8266426101338142</v>
      </c>
      <c r="F130" s="17"/>
      <c r="G130" s="17"/>
      <c r="H130" s="17">
        <f>H125/H116*100</f>
        <v>2.2095624300037366</v>
      </c>
      <c r="I130" s="17"/>
      <c r="J130" s="17"/>
      <c r="K130" s="17">
        <f>K125/K116*100</f>
        <v>2.2375265266103317</v>
      </c>
      <c r="L130" s="17"/>
      <c r="M130" s="17"/>
      <c r="N130" s="51">
        <f>N125/N116*100</f>
        <v>2.0532768183420194</v>
      </c>
      <c r="O130" s="73">
        <v>1.7</v>
      </c>
      <c r="P130" s="74"/>
      <c r="Q130" s="86">
        <f>Q125/Q116*100</f>
        <v>1.4102323377292236</v>
      </c>
    </row>
    <row r="131" spans="1:17" ht="12.75">
      <c r="A131" s="30"/>
      <c r="B131" s="23" t="s">
        <v>104</v>
      </c>
      <c r="C131" s="38"/>
      <c r="D131" s="38"/>
      <c r="E131" s="38">
        <f>E129/D129</f>
        <v>1.1632882849306487</v>
      </c>
      <c r="F131" s="38"/>
      <c r="G131" s="38"/>
      <c r="H131" s="38">
        <f>H129/D129</f>
        <v>1.1124981727703223</v>
      </c>
      <c r="I131" s="38"/>
      <c r="J131" s="38"/>
      <c r="K131" s="38">
        <f>K129/H129</f>
        <v>1.2531346329030773</v>
      </c>
      <c r="L131" s="38"/>
      <c r="M131" s="38"/>
      <c r="N131" s="58">
        <f>N129/K129</f>
        <v>1.026781768955226</v>
      </c>
      <c r="O131" s="75"/>
      <c r="P131" s="75"/>
      <c r="Q131" s="95">
        <v>1.103</v>
      </c>
    </row>
    <row r="132" spans="2:15" ht="13.5" customHeight="1">
      <c r="B132" s="39"/>
      <c r="C132" s="39"/>
      <c r="D132" s="39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1"/>
    </row>
    <row r="133" spans="2:15" ht="13.5" customHeight="1">
      <c r="B133" s="39"/>
      <c r="C133" s="39"/>
      <c r="D133" s="39"/>
      <c r="E133" s="41"/>
      <c r="F133" s="41"/>
      <c r="G133" s="41"/>
      <c r="H133" s="41"/>
      <c r="I133" s="41"/>
      <c r="J133" s="42"/>
      <c r="K133" s="42"/>
      <c r="L133" s="42"/>
      <c r="M133" s="42"/>
      <c r="N133" s="42"/>
      <c r="O133" s="41"/>
    </row>
    <row r="134" ht="12.75">
      <c r="B134" s="43"/>
    </row>
    <row r="135" ht="12.75">
      <c r="B135" s="43"/>
    </row>
  </sheetData>
  <sheetProtection/>
  <mergeCells count="3">
    <mergeCell ref="A1:K1"/>
    <mergeCell ref="A3:Q3"/>
    <mergeCell ref="A13:Q13"/>
  </mergeCells>
  <printOptions/>
  <pageMargins left="0.7479166666666667" right="0.7479166666666667" top="0.22986111111111113" bottom="0.3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2010-12-02T10:44:16Z</dcterms:modified>
  <cp:category/>
  <cp:version/>
  <cp:contentType/>
  <cp:contentStatus/>
</cp:coreProperties>
</file>